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defaultThemeVersion="124226"/>
  <mc:AlternateContent xmlns:mc="http://schemas.openxmlformats.org/markup-compatibility/2006">
    <mc:Choice Requires="x15">
      <x15ac:absPath xmlns:x15ac="http://schemas.microsoft.com/office/spreadsheetml/2010/11/ac" url="/Users/okadamitsunori/Desktop/"/>
    </mc:Choice>
  </mc:AlternateContent>
  <xr:revisionPtr revIDLastSave="0" documentId="13_ncr:1_{AFC30520-FB3F-1740-9D3B-33E55EEFEDDA}" xr6:coauthVersionLast="36" xr6:coauthVersionMax="45" xr10:uidLastSave="{00000000-0000-0000-0000-000000000000}"/>
  <bookViews>
    <workbookView xWindow="0" yWindow="0" windowWidth="28800" windowHeight="18000" tabRatio="786" activeTab="6" xr2:uid="{00000000-000D-0000-FFFF-FFFF00000000}"/>
  </bookViews>
  <sheets>
    <sheet name="調査原票" sheetId="12" r:id="rId1"/>
    <sheet name="価格要因分析" sheetId="14" r:id="rId2"/>
    <sheet name="競合比較分析" sheetId="16" r:id="rId3"/>
    <sheet name="プライシング思想" sheetId="17" r:id="rId4"/>
    <sheet name="商品設計思想" sheetId="15" r:id="rId5"/>
    <sheet name="商品設計・価格表案" sheetId="18" r:id="rId6"/>
    <sheet name="収支" sheetId="19" r:id="rId7"/>
    <sheet name="コスト" sheetId="20" r:id="rId8"/>
    <sheet name="MD分析表(保留)" sheetId="1" r:id="rId9"/>
  </sheets>
  <definedNames>
    <definedName name="_xlnm._FilterDatabase" localSheetId="0" hidden="1">調査原票!$A$5:$BJ$155</definedName>
    <definedName name="_xlnm.Print_Area" localSheetId="8">'MD分析表(保留)'!$A$1:$V$21</definedName>
    <definedName name="_xlnm.Print_Area" localSheetId="6">収支!$A$1:$M$103</definedName>
    <definedName name="_xlnm.Print_Area" localSheetId="0">調査原票!$A$1:$AZ$155</definedName>
    <definedName name="_xlnm.Print_Titles" localSheetId="0">調査原票!$5:$5</definedName>
  </definedNames>
  <calcPr calcId="181029"/>
</workbook>
</file>

<file path=xl/calcChain.xml><?xml version="1.0" encoding="utf-8"?>
<calcChain xmlns="http://schemas.openxmlformats.org/spreadsheetml/2006/main">
  <c r="I5" i="19" l="1"/>
  <c r="I6" i="19"/>
  <c r="I8" i="19"/>
  <c r="I7" i="19"/>
  <c r="G46" i="19" l="1"/>
  <c r="I26" i="19" l="1"/>
  <c r="I79" i="19" s="1"/>
  <c r="I86" i="19" l="1"/>
  <c r="I91" i="19"/>
  <c r="I96" i="19"/>
  <c r="C40" i="19"/>
  <c r="G47" i="19" s="1"/>
  <c r="E25" i="16" l="1"/>
  <c r="D25" i="16"/>
  <c r="E24" i="16"/>
  <c r="D24" i="16"/>
  <c r="E23" i="16"/>
  <c r="D23" i="16"/>
  <c r="E22" i="16"/>
  <c r="D22" i="16"/>
  <c r="E21" i="16"/>
  <c r="D21" i="16"/>
  <c r="E20" i="16"/>
  <c r="D20" i="16"/>
  <c r="E19" i="16"/>
  <c r="D19" i="16"/>
  <c r="E17" i="16"/>
  <c r="D17" i="16"/>
  <c r="G19" i="16"/>
  <c r="I15" i="19" l="1"/>
  <c r="I16" i="19"/>
  <c r="I17" i="19"/>
  <c r="I14" i="19"/>
  <c r="C52" i="19"/>
  <c r="C53" i="19"/>
  <c r="C54" i="19"/>
  <c r="C51" i="19"/>
  <c r="F54" i="12"/>
  <c r="F55" i="12"/>
  <c r="F56" i="12"/>
  <c r="F57" i="12"/>
  <c r="F58" i="12"/>
  <c r="F59" i="12"/>
  <c r="C27" i="19"/>
  <c r="C28" i="19"/>
  <c r="C29" i="19"/>
  <c r="C26" i="19"/>
  <c r="H25" i="16"/>
  <c r="G25" i="16"/>
  <c r="H24" i="16"/>
  <c r="G24" i="16"/>
  <c r="H23" i="16"/>
  <c r="G23" i="16"/>
  <c r="H22" i="16"/>
  <c r="G22" i="16"/>
  <c r="H21" i="16"/>
  <c r="G21" i="16"/>
  <c r="H20" i="16"/>
  <c r="G20" i="16"/>
  <c r="G26" i="16" s="1"/>
  <c r="G27" i="16" s="1"/>
  <c r="C13" i="19" s="1"/>
  <c r="H19" i="16"/>
  <c r="H11" i="16"/>
  <c r="G11" i="16"/>
  <c r="G6" i="16"/>
  <c r="H6" i="16"/>
  <c r="G7" i="16"/>
  <c r="H7" i="16"/>
  <c r="G8" i="16"/>
  <c r="H8" i="16"/>
  <c r="G9" i="16"/>
  <c r="H9" i="16"/>
  <c r="G10" i="16"/>
  <c r="H10" i="16"/>
  <c r="H5" i="16"/>
  <c r="G5" i="16"/>
  <c r="C6" i="19"/>
  <c r="C9" i="19" s="1"/>
  <c r="C10" i="19" s="1"/>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11" i="18"/>
  <c r="G12" i="16" l="1"/>
  <c r="G13" i="16" s="1"/>
  <c r="C11" i="19" s="1"/>
  <c r="H12" i="16"/>
  <c r="H13" i="16" s="1"/>
  <c r="C12" i="19" s="1"/>
  <c r="H26" i="16"/>
  <c r="H27" i="16" s="1"/>
  <c r="C14" i="19" s="1"/>
  <c r="C36" i="19"/>
  <c r="C37" i="19"/>
  <c r="C38" i="19"/>
  <c r="C58" i="19" s="1"/>
  <c r="C63" i="19" s="1"/>
  <c r="C68" i="19" s="1"/>
  <c r="C39" i="19"/>
  <c r="F25" i="16"/>
  <c r="F17" i="16"/>
  <c r="F24" i="16"/>
  <c r="F23" i="16"/>
  <c r="F22" i="16"/>
  <c r="F21" i="16"/>
  <c r="F20" i="16"/>
  <c r="F19" i="16"/>
  <c r="F6" i="16"/>
  <c r="F7" i="16"/>
  <c r="F8" i="16"/>
  <c r="F9" i="16"/>
  <c r="F10" i="16"/>
  <c r="F3" i="16"/>
  <c r="F11" i="16"/>
  <c r="F5" i="16"/>
  <c r="C59" i="19" l="1"/>
  <c r="C64" i="19" s="1"/>
  <c r="C69" i="19" s="1"/>
  <c r="I29" i="19"/>
  <c r="I82" i="19" s="1"/>
  <c r="E84" i="19"/>
  <c r="E89" i="19" s="1"/>
  <c r="C57" i="19"/>
  <c r="C62" i="19" s="1"/>
  <c r="C67" i="19" s="1"/>
  <c r="I27" i="19"/>
  <c r="I68" i="19" s="1"/>
  <c r="E82" i="19"/>
  <c r="E87" i="19" s="1"/>
  <c r="I28" i="19"/>
  <c r="C56" i="19"/>
  <c r="I33" i="19"/>
  <c r="T127" i="12"/>
  <c r="S127" i="12" s="1"/>
  <c r="T126" i="12"/>
  <c r="T125" i="12"/>
  <c r="T124" i="12"/>
  <c r="R131" i="12"/>
  <c r="H7" i="12"/>
  <c r="H36" i="12"/>
  <c r="A15" i="14"/>
  <c r="A16" i="14"/>
  <c r="A17" i="14"/>
  <c r="A18" i="14"/>
  <c r="A19" i="14"/>
  <c r="A20" i="14"/>
  <c r="A35" i="14"/>
  <c r="A36" i="14"/>
  <c r="A37" i="14"/>
  <c r="A38" i="14"/>
  <c r="A39" i="14"/>
  <c r="A40" i="14"/>
  <c r="A41" i="14"/>
  <c r="A42" i="14"/>
  <c r="A43" i="14"/>
  <c r="A44" i="14"/>
  <c r="A45" i="14"/>
  <c r="A46" i="14"/>
  <c r="A34" i="14"/>
  <c r="A4" i="14"/>
  <c r="A5" i="14"/>
  <c r="A6" i="14"/>
  <c r="A7" i="14"/>
  <c r="A8" i="14"/>
  <c r="A9" i="14"/>
  <c r="A10" i="14"/>
  <c r="A23" i="14"/>
  <c r="A24" i="14"/>
  <c r="A25" i="14"/>
  <c r="A26" i="14"/>
  <c r="A27" i="14"/>
  <c r="A28" i="14"/>
  <c r="A21" i="14"/>
  <c r="A22" i="14"/>
  <c r="S112" i="12"/>
  <c r="A11" i="14"/>
  <c r="A12" i="14"/>
  <c r="A13" i="14"/>
  <c r="A14" i="14"/>
  <c r="A3" i="14"/>
  <c r="S45" i="12"/>
  <c r="S101" i="12"/>
  <c r="S6" i="12"/>
  <c r="S152" i="12"/>
  <c r="S151" i="12"/>
  <c r="S150" i="12"/>
  <c r="D150" i="12" s="1"/>
  <c r="S149" i="12"/>
  <c r="D149" i="12" s="1"/>
  <c r="S148" i="12"/>
  <c r="D148" i="12" s="1"/>
  <c r="S147" i="12"/>
  <c r="D147" i="12" s="1"/>
  <c r="S146" i="12"/>
  <c r="D146" i="12" s="1"/>
  <c r="S145" i="12"/>
  <c r="D145" i="12" s="1"/>
  <c r="S144" i="12"/>
  <c r="D144" i="12" s="1"/>
  <c r="S143" i="12"/>
  <c r="S142" i="12"/>
  <c r="S141" i="12"/>
  <c r="S140" i="12"/>
  <c r="S139" i="12"/>
  <c r="S132" i="12"/>
  <c r="D132" i="12" s="1"/>
  <c r="S131" i="12"/>
  <c r="D131" i="12" s="1"/>
  <c r="S70" i="12"/>
  <c r="S71" i="12"/>
  <c r="S51" i="12"/>
  <c r="S50" i="12"/>
  <c r="S49" i="12"/>
  <c r="S39" i="12"/>
  <c r="S38" i="12"/>
  <c r="S37" i="12"/>
  <c r="S76" i="12"/>
  <c r="S77" i="12"/>
  <c r="S66" i="12"/>
  <c r="S65" i="12"/>
  <c r="S64" i="12"/>
  <c r="S47" i="12"/>
  <c r="S46" i="12"/>
  <c r="S89" i="12"/>
  <c r="S90" i="12"/>
  <c r="S80" i="12"/>
  <c r="S79" i="12"/>
  <c r="S78" i="12"/>
  <c r="S69" i="12"/>
  <c r="S68" i="12"/>
  <c r="S67" i="12"/>
  <c r="S98" i="12"/>
  <c r="S99" i="12"/>
  <c r="S88" i="12"/>
  <c r="S87" i="12"/>
  <c r="S86" i="12"/>
  <c r="S75" i="12"/>
  <c r="S74" i="12"/>
  <c r="S73" i="12"/>
  <c r="S107" i="12"/>
  <c r="S108" i="12"/>
  <c r="S97" i="12"/>
  <c r="S96" i="12"/>
  <c r="S95" i="12"/>
  <c r="S85" i="12"/>
  <c r="S84" i="12"/>
  <c r="S83" i="12"/>
  <c r="S115" i="12"/>
  <c r="S116" i="12"/>
  <c r="S106" i="12"/>
  <c r="S105" i="12"/>
  <c r="S104" i="12"/>
  <c r="S94" i="12"/>
  <c r="S93" i="12"/>
  <c r="S92" i="12"/>
  <c r="S117" i="12"/>
  <c r="S118" i="12"/>
  <c r="S111" i="12"/>
  <c r="S110" i="12"/>
  <c r="S109" i="12"/>
  <c r="S103" i="12"/>
  <c r="S102" i="12"/>
  <c r="S122" i="12"/>
  <c r="S123" i="12"/>
  <c r="S121" i="12"/>
  <c r="S120" i="12"/>
  <c r="S119" i="12"/>
  <c r="S114" i="12"/>
  <c r="S113" i="12"/>
  <c r="S59" i="12"/>
  <c r="S58" i="12"/>
  <c r="S57" i="12"/>
  <c r="S56" i="12"/>
  <c r="S55" i="12"/>
  <c r="S54" i="12"/>
  <c r="S100" i="12"/>
  <c r="S91" i="12"/>
  <c r="S82" i="12"/>
  <c r="S53" i="12"/>
  <c r="S42" i="12"/>
  <c r="S31" i="12"/>
  <c r="S81" i="12"/>
  <c r="S72" i="12"/>
  <c r="S63" i="12"/>
  <c r="S43" i="12"/>
  <c r="S29" i="12"/>
  <c r="S27" i="12"/>
  <c r="S52" i="12"/>
  <c r="S48" i="12"/>
  <c r="S44" i="12"/>
  <c r="S30" i="12"/>
  <c r="S25" i="12"/>
  <c r="S19" i="12"/>
  <c r="S40" i="12"/>
  <c r="S36" i="12"/>
  <c r="S35" i="12"/>
  <c r="S26" i="12"/>
  <c r="S18" i="12"/>
  <c r="S16" i="12"/>
  <c r="S62" i="12"/>
  <c r="S61" i="12"/>
  <c r="S60" i="12"/>
  <c r="S41" i="12"/>
  <c r="S28" i="12"/>
  <c r="S24" i="12"/>
  <c r="S34" i="12"/>
  <c r="S33" i="12"/>
  <c r="S32" i="12"/>
  <c r="S23" i="12"/>
  <c r="S17" i="12"/>
  <c r="S15" i="12"/>
  <c r="S22" i="12"/>
  <c r="S21" i="12"/>
  <c r="S20" i="12"/>
  <c r="S14" i="12"/>
  <c r="S10" i="12"/>
  <c r="S9" i="12"/>
  <c r="S13" i="12"/>
  <c r="S12" i="12"/>
  <c r="S11" i="12"/>
  <c r="S8" i="12"/>
  <c r="S7" i="12"/>
  <c r="AK155" i="12"/>
  <c r="J155" i="12"/>
  <c r="I155" i="12" s="1"/>
  <c r="U155" i="12"/>
  <c r="S155" i="12" s="1"/>
  <c r="G155" i="12"/>
  <c r="AK154" i="12"/>
  <c r="AK153" i="12"/>
  <c r="G154" i="12"/>
  <c r="G153" i="12"/>
  <c r="G152" i="12"/>
  <c r="G151" i="12"/>
  <c r="U154" i="12"/>
  <c r="S154" i="12" s="1"/>
  <c r="J154" i="12"/>
  <c r="I154" i="12" s="1"/>
  <c r="J153" i="12"/>
  <c r="I153" i="12" s="1"/>
  <c r="U153" i="12"/>
  <c r="S153" i="12" s="1"/>
  <c r="I152" i="12"/>
  <c r="AK151" i="12"/>
  <c r="I151" i="12"/>
  <c r="AK150" i="12"/>
  <c r="AK149" i="12"/>
  <c r="I149" i="12"/>
  <c r="I150" i="12"/>
  <c r="AK146" i="12"/>
  <c r="AK147" i="12"/>
  <c r="AK148" i="12"/>
  <c r="AK145" i="12"/>
  <c r="I146" i="12"/>
  <c r="I147" i="12"/>
  <c r="I148" i="12"/>
  <c r="I145" i="12"/>
  <c r="AK144" i="12"/>
  <c r="I144" i="12"/>
  <c r="AK143" i="12"/>
  <c r="AK142" i="12"/>
  <c r="AK141" i="12"/>
  <c r="AK140" i="12"/>
  <c r="Z143" i="12"/>
  <c r="Z142" i="12"/>
  <c r="Z141" i="12"/>
  <c r="Z140" i="12"/>
  <c r="J141" i="12"/>
  <c r="I141" i="12" s="1"/>
  <c r="J142" i="12"/>
  <c r="I142" i="12" s="1"/>
  <c r="J143" i="12"/>
  <c r="I143" i="12" s="1"/>
  <c r="J140" i="12"/>
  <c r="I140" i="12" s="1"/>
  <c r="Z139" i="12"/>
  <c r="I139" i="12"/>
  <c r="AK138" i="12"/>
  <c r="AK137" i="12"/>
  <c r="AK136" i="12"/>
  <c r="AK135" i="12"/>
  <c r="AK134" i="12"/>
  <c r="AK133" i="12"/>
  <c r="T130" i="12"/>
  <c r="S130" i="12" s="1"/>
  <c r="T129" i="12"/>
  <c r="S129" i="12" s="1"/>
  <c r="R128" i="12"/>
  <c r="I128" i="12" s="1"/>
  <c r="T138" i="12"/>
  <c r="S138" i="12" s="1"/>
  <c r="R138" i="12"/>
  <c r="I138" i="12" s="1"/>
  <c r="T137" i="12"/>
  <c r="S137" i="12" s="1"/>
  <c r="R137" i="12"/>
  <c r="I137" i="12" s="1"/>
  <c r="T136" i="12"/>
  <c r="S136" i="12" s="1"/>
  <c r="R136" i="12"/>
  <c r="I136" i="12" s="1"/>
  <c r="T135" i="12"/>
  <c r="S135" i="12" s="1"/>
  <c r="R135" i="12"/>
  <c r="I135" i="12" s="1"/>
  <c r="T134" i="12"/>
  <c r="S134" i="12" s="1"/>
  <c r="R134" i="12"/>
  <c r="I134" i="12" s="1"/>
  <c r="T133" i="12"/>
  <c r="S133" i="12" s="1"/>
  <c r="R133" i="12"/>
  <c r="I133" i="12" s="1"/>
  <c r="K131" i="12"/>
  <c r="K132" i="12"/>
  <c r="R132" i="12"/>
  <c r="AY59" i="12"/>
  <c r="AY58" i="12"/>
  <c r="AY57" i="12"/>
  <c r="AY56" i="12"/>
  <c r="AY55" i="12"/>
  <c r="AY54" i="12"/>
  <c r="R129" i="12"/>
  <c r="I129" i="12" s="1"/>
  <c r="R130" i="12"/>
  <c r="I130" i="12" s="1"/>
  <c r="AK130" i="12"/>
  <c r="AK129" i="12"/>
  <c r="AK128" i="12"/>
  <c r="T128" i="12"/>
  <c r="S128" i="12" s="1"/>
  <c r="AK127" i="12"/>
  <c r="AK126" i="12"/>
  <c r="R127" i="12"/>
  <c r="I127" i="12" s="1"/>
  <c r="R126" i="12"/>
  <c r="I126" i="12" s="1"/>
  <c r="AK125" i="12"/>
  <c r="R125" i="12"/>
  <c r="I125" i="12" s="1"/>
  <c r="R124" i="12"/>
  <c r="I124" i="12" s="1"/>
  <c r="AV124" i="12"/>
  <c r="AW124" i="12" s="1"/>
  <c r="AK124" i="12"/>
  <c r="I59" i="12"/>
  <c r="I58" i="12"/>
  <c r="I57" i="12"/>
  <c r="I56" i="12"/>
  <c r="I55" i="12"/>
  <c r="I54" i="12"/>
  <c r="AK46" i="12"/>
  <c r="AK47" i="12"/>
  <c r="AK64" i="12"/>
  <c r="AK65" i="12"/>
  <c r="AK66" i="12"/>
  <c r="AK77" i="12"/>
  <c r="AK76" i="12"/>
  <c r="AK37" i="12"/>
  <c r="AK38" i="12"/>
  <c r="AK39" i="12"/>
  <c r="AK49" i="12"/>
  <c r="AK50" i="12"/>
  <c r="AK51" i="12"/>
  <c r="AK71" i="12"/>
  <c r="AK70" i="12"/>
  <c r="AH45" i="12"/>
  <c r="AF45" i="12" s="1"/>
  <c r="AH46" i="12"/>
  <c r="AF46" i="12" s="1"/>
  <c r="AH47" i="12"/>
  <c r="AF47" i="12" s="1"/>
  <c r="AH64" i="12"/>
  <c r="AF64" i="12" s="1"/>
  <c r="AH65" i="12"/>
  <c r="AF65" i="12" s="1"/>
  <c r="AH66" i="12"/>
  <c r="AF66" i="12" s="1"/>
  <c r="AH77" i="12"/>
  <c r="AF77" i="12" s="1"/>
  <c r="AH76" i="12"/>
  <c r="AF76" i="12" s="1"/>
  <c r="AH37" i="12"/>
  <c r="AF37" i="12" s="1"/>
  <c r="AH38" i="12"/>
  <c r="AF38" i="12" s="1"/>
  <c r="AH39" i="12"/>
  <c r="AF39" i="12" s="1"/>
  <c r="AH49" i="12"/>
  <c r="AF49" i="12" s="1"/>
  <c r="AH50" i="12"/>
  <c r="AF50" i="12" s="1"/>
  <c r="AH51" i="12"/>
  <c r="AF51" i="12" s="1"/>
  <c r="AH71" i="12"/>
  <c r="AF71" i="12" s="1"/>
  <c r="AH70" i="12"/>
  <c r="AF70" i="12" s="1"/>
  <c r="Z45" i="12"/>
  <c r="AD45" i="12"/>
  <c r="Z46" i="12"/>
  <c r="AD46" i="12"/>
  <c r="Z47" i="12"/>
  <c r="AD47" i="12"/>
  <c r="Z64" i="12"/>
  <c r="AD64" i="12"/>
  <c r="Z65" i="12"/>
  <c r="AD65" i="12"/>
  <c r="Z66" i="12"/>
  <c r="AD66" i="12"/>
  <c r="Z77" i="12"/>
  <c r="AD77" i="12"/>
  <c r="Z76" i="12"/>
  <c r="AD76" i="12"/>
  <c r="Z37" i="12"/>
  <c r="AD37" i="12"/>
  <c r="Z38" i="12"/>
  <c r="AD38" i="12"/>
  <c r="Z39" i="12"/>
  <c r="AD39" i="12"/>
  <c r="Z49" i="12"/>
  <c r="AD49" i="12"/>
  <c r="Z50" i="12"/>
  <c r="AD50" i="12"/>
  <c r="Z51" i="12"/>
  <c r="AD51" i="12"/>
  <c r="Z71" i="12"/>
  <c r="AD71" i="12"/>
  <c r="Z70" i="12"/>
  <c r="AD70" i="12"/>
  <c r="R70" i="12"/>
  <c r="M70" i="12"/>
  <c r="L70" i="12"/>
  <c r="K70" i="12"/>
  <c r="H70" i="12"/>
  <c r="R71" i="12"/>
  <c r="L71" i="12"/>
  <c r="K71" i="12"/>
  <c r="H71" i="12"/>
  <c r="R51" i="12"/>
  <c r="L51" i="12"/>
  <c r="K51" i="12"/>
  <c r="H51" i="12"/>
  <c r="R50" i="12"/>
  <c r="L50" i="12"/>
  <c r="K50" i="12"/>
  <c r="H50" i="12"/>
  <c r="R49" i="12"/>
  <c r="L49" i="12"/>
  <c r="K49" i="12"/>
  <c r="H49" i="12"/>
  <c r="R39" i="12"/>
  <c r="L39" i="12"/>
  <c r="K39" i="12"/>
  <c r="H39" i="12"/>
  <c r="R38" i="12"/>
  <c r="L38" i="12"/>
  <c r="K38" i="12"/>
  <c r="H38" i="12"/>
  <c r="R37" i="12"/>
  <c r="L37" i="12"/>
  <c r="K37" i="12"/>
  <c r="H37" i="12"/>
  <c r="AK45" i="12"/>
  <c r="R76" i="12"/>
  <c r="M76" i="12"/>
  <c r="L76" i="12"/>
  <c r="K76" i="12"/>
  <c r="H76" i="12"/>
  <c r="R77" i="12"/>
  <c r="L77" i="12"/>
  <c r="K77" i="12"/>
  <c r="H77" i="12"/>
  <c r="R66" i="12"/>
  <c r="L66" i="12"/>
  <c r="K66" i="12"/>
  <c r="H66" i="12"/>
  <c r="R65" i="12"/>
  <c r="L65" i="12"/>
  <c r="K65" i="12"/>
  <c r="H65" i="12"/>
  <c r="R64" i="12"/>
  <c r="L64" i="12"/>
  <c r="K64" i="12"/>
  <c r="H64" i="12"/>
  <c r="R47" i="12"/>
  <c r="L47" i="12"/>
  <c r="K47" i="12"/>
  <c r="H47" i="12"/>
  <c r="R46" i="12"/>
  <c r="L46" i="12"/>
  <c r="K46" i="12"/>
  <c r="H46" i="12"/>
  <c r="R45" i="12"/>
  <c r="L45" i="12"/>
  <c r="K45" i="12"/>
  <c r="H45" i="12"/>
  <c r="AK101" i="12"/>
  <c r="AK102" i="12"/>
  <c r="AK103" i="12"/>
  <c r="AK109" i="12"/>
  <c r="AK110" i="12"/>
  <c r="AK111" i="12"/>
  <c r="AK118" i="12"/>
  <c r="AK117" i="12"/>
  <c r="AK92" i="12"/>
  <c r="AK93" i="12"/>
  <c r="AK94" i="12"/>
  <c r="AK104" i="12"/>
  <c r="AK105" i="12"/>
  <c r="AK106" i="12"/>
  <c r="AK116" i="12"/>
  <c r="AK115" i="12"/>
  <c r="AK83" i="12"/>
  <c r="AK84" i="12"/>
  <c r="AK85" i="12"/>
  <c r="AK95" i="12"/>
  <c r="AK96" i="12"/>
  <c r="AK97" i="12"/>
  <c r="AK108" i="12"/>
  <c r="AK107" i="12"/>
  <c r="AK73" i="12"/>
  <c r="AK74" i="12"/>
  <c r="AK75" i="12"/>
  <c r="AK86" i="12"/>
  <c r="AK87" i="12"/>
  <c r="AK88" i="12"/>
  <c r="AK99" i="12"/>
  <c r="AK98" i="12"/>
  <c r="AK67" i="12"/>
  <c r="AK68" i="12"/>
  <c r="AK69" i="12"/>
  <c r="AK78" i="12"/>
  <c r="AK79" i="12"/>
  <c r="AK80" i="12"/>
  <c r="AK90" i="12"/>
  <c r="AK89" i="12"/>
  <c r="Z83" i="12"/>
  <c r="AD83" i="12"/>
  <c r="AH83" i="12"/>
  <c r="AF83" i="12" s="1"/>
  <c r="Z84" i="12"/>
  <c r="AD84" i="12"/>
  <c r="AH84" i="12"/>
  <c r="AF84" i="12" s="1"/>
  <c r="Z85" i="12"/>
  <c r="AD85" i="12"/>
  <c r="AH85" i="12"/>
  <c r="AF85" i="12" s="1"/>
  <c r="Z95" i="12"/>
  <c r="AD95" i="12"/>
  <c r="AH95" i="12"/>
  <c r="AF95" i="12" s="1"/>
  <c r="Z96" i="12"/>
  <c r="AD96" i="12"/>
  <c r="AH96" i="12"/>
  <c r="AF96" i="12" s="1"/>
  <c r="Z97" i="12"/>
  <c r="AD97" i="12"/>
  <c r="AH97" i="12"/>
  <c r="AF97" i="12" s="1"/>
  <c r="Z108" i="12"/>
  <c r="AD108" i="12"/>
  <c r="AH108" i="12"/>
  <c r="AF108" i="12" s="1"/>
  <c r="Z107" i="12"/>
  <c r="AD107" i="12"/>
  <c r="AH107" i="12"/>
  <c r="AF107" i="12" s="1"/>
  <c r="Z73" i="12"/>
  <c r="AD73" i="12"/>
  <c r="AH73" i="12"/>
  <c r="AF73" i="12" s="1"/>
  <c r="Z74" i="12"/>
  <c r="AD74" i="12"/>
  <c r="AH74" i="12"/>
  <c r="AF74" i="12" s="1"/>
  <c r="Z75" i="12"/>
  <c r="AD75" i="12"/>
  <c r="AH75" i="12"/>
  <c r="AF75" i="12" s="1"/>
  <c r="Z86" i="12"/>
  <c r="AD86" i="12"/>
  <c r="AH86" i="12"/>
  <c r="AF86" i="12" s="1"/>
  <c r="Z87" i="12"/>
  <c r="AD87" i="12"/>
  <c r="AH87" i="12"/>
  <c r="AF87" i="12" s="1"/>
  <c r="Z88" i="12"/>
  <c r="AD88" i="12"/>
  <c r="AH88" i="12"/>
  <c r="AF88" i="12" s="1"/>
  <c r="Z99" i="12"/>
  <c r="AD99" i="12"/>
  <c r="AH99" i="12"/>
  <c r="AF99" i="12" s="1"/>
  <c r="Z98" i="12"/>
  <c r="AD98" i="12"/>
  <c r="AH98" i="12"/>
  <c r="AF98" i="12" s="1"/>
  <c r="Z67" i="12"/>
  <c r="AD67" i="12"/>
  <c r="AH67" i="12"/>
  <c r="AF67" i="12" s="1"/>
  <c r="Z68" i="12"/>
  <c r="AD68" i="12"/>
  <c r="AH68" i="12"/>
  <c r="AF68" i="12" s="1"/>
  <c r="Z69" i="12"/>
  <c r="AD69" i="12"/>
  <c r="AH69" i="12"/>
  <c r="AF69" i="12" s="1"/>
  <c r="Z78" i="12"/>
  <c r="AD78" i="12"/>
  <c r="AH78" i="12"/>
  <c r="AF78" i="12" s="1"/>
  <c r="Z79" i="12"/>
  <c r="AD79" i="12"/>
  <c r="AH79" i="12"/>
  <c r="AF79" i="12" s="1"/>
  <c r="Z80" i="12"/>
  <c r="AD80" i="12"/>
  <c r="AH80" i="12"/>
  <c r="AF80" i="12" s="1"/>
  <c r="Z90" i="12"/>
  <c r="AD90" i="12"/>
  <c r="AH90" i="12"/>
  <c r="AF90" i="12" s="1"/>
  <c r="Z89" i="12"/>
  <c r="AD89" i="12"/>
  <c r="AH89" i="12"/>
  <c r="AF89" i="12" s="1"/>
  <c r="H115" i="12"/>
  <c r="H83" i="12"/>
  <c r="H84" i="12"/>
  <c r="H85" i="12"/>
  <c r="H95" i="12"/>
  <c r="H96" i="12"/>
  <c r="H97" i="12"/>
  <c r="H108" i="12"/>
  <c r="H107" i="12"/>
  <c r="H73" i="12"/>
  <c r="H74" i="12"/>
  <c r="H75" i="12"/>
  <c r="H86" i="12"/>
  <c r="H87" i="12"/>
  <c r="H88" i="12"/>
  <c r="H99" i="12"/>
  <c r="H98" i="12"/>
  <c r="H67" i="12"/>
  <c r="H68" i="12"/>
  <c r="H69" i="12"/>
  <c r="H78" i="12"/>
  <c r="H79" i="12"/>
  <c r="H80" i="12"/>
  <c r="H90" i="12"/>
  <c r="H89" i="12"/>
  <c r="R89" i="12"/>
  <c r="M89" i="12"/>
  <c r="L89" i="12"/>
  <c r="K89" i="12"/>
  <c r="R90" i="12"/>
  <c r="L90" i="12"/>
  <c r="K90" i="12"/>
  <c r="R80" i="12"/>
  <c r="L80" i="12"/>
  <c r="K80" i="12"/>
  <c r="R79" i="12"/>
  <c r="L79" i="12"/>
  <c r="K79" i="12"/>
  <c r="R78" i="12"/>
  <c r="L78" i="12"/>
  <c r="K78" i="12"/>
  <c r="R69" i="12"/>
  <c r="L69" i="12"/>
  <c r="K69" i="12"/>
  <c r="R68" i="12"/>
  <c r="L68" i="12"/>
  <c r="K68" i="12"/>
  <c r="R67" i="12"/>
  <c r="L67" i="12"/>
  <c r="K67" i="12"/>
  <c r="R98" i="12"/>
  <c r="M98" i="12"/>
  <c r="L98" i="12"/>
  <c r="K98" i="12"/>
  <c r="R99" i="12"/>
  <c r="L99" i="12"/>
  <c r="K99" i="12"/>
  <c r="R88" i="12"/>
  <c r="L88" i="12"/>
  <c r="K88" i="12"/>
  <c r="R87" i="12"/>
  <c r="L87" i="12"/>
  <c r="K87" i="12"/>
  <c r="R86" i="12"/>
  <c r="L86" i="12"/>
  <c r="K86" i="12"/>
  <c r="R75" i="12"/>
  <c r="L75" i="12"/>
  <c r="K75" i="12"/>
  <c r="R74" i="12"/>
  <c r="L74" i="12"/>
  <c r="K74" i="12"/>
  <c r="R73" i="12"/>
  <c r="L73" i="12"/>
  <c r="K73" i="12"/>
  <c r="R107" i="12"/>
  <c r="M107" i="12"/>
  <c r="L107" i="12"/>
  <c r="K107" i="12"/>
  <c r="R108" i="12"/>
  <c r="L108" i="12"/>
  <c r="K108" i="12"/>
  <c r="R97" i="12"/>
  <c r="L97" i="12"/>
  <c r="K97" i="12"/>
  <c r="R96" i="12"/>
  <c r="L96" i="12"/>
  <c r="K96" i="12"/>
  <c r="R95" i="12"/>
  <c r="L95" i="12"/>
  <c r="K95" i="12"/>
  <c r="R85" i="12"/>
  <c r="L85" i="12"/>
  <c r="K85" i="12"/>
  <c r="R84" i="12"/>
  <c r="L84" i="12"/>
  <c r="K84" i="12"/>
  <c r="R83" i="12"/>
  <c r="L83" i="12"/>
  <c r="K83" i="12"/>
  <c r="AH115" i="12"/>
  <c r="AF115" i="12" s="1"/>
  <c r="AD115" i="12"/>
  <c r="Z115" i="12"/>
  <c r="R115" i="12"/>
  <c r="M115" i="12"/>
  <c r="L115" i="12"/>
  <c r="K115" i="12"/>
  <c r="AH116" i="12"/>
  <c r="AF116" i="12" s="1"/>
  <c r="AD116" i="12"/>
  <c r="Z116" i="12"/>
  <c r="R116" i="12"/>
  <c r="L116" i="12"/>
  <c r="K116" i="12"/>
  <c r="H116" i="12"/>
  <c r="AH106" i="12"/>
  <c r="AF106" i="12" s="1"/>
  <c r="AD106" i="12"/>
  <c r="Z106" i="12"/>
  <c r="R106" i="12"/>
  <c r="L106" i="12"/>
  <c r="K106" i="12"/>
  <c r="H106" i="12"/>
  <c r="AH105" i="12"/>
  <c r="AF105" i="12" s="1"/>
  <c r="AD105" i="12"/>
  <c r="Z105" i="12"/>
  <c r="R105" i="12"/>
  <c r="L105" i="12"/>
  <c r="K105" i="12"/>
  <c r="H105" i="12"/>
  <c r="AH104" i="12"/>
  <c r="AF104" i="12" s="1"/>
  <c r="AD104" i="12"/>
  <c r="Z104" i="12"/>
  <c r="R104" i="12"/>
  <c r="L104" i="12"/>
  <c r="K104" i="12"/>
  <c r="H104" i="12"/>
  <c r="AH94" i="12"/>
  <c r="AF94" i="12" s="1"/>
  <c r="AD94" i="12"/>
  <c r="Z94" i="12"/>
  <c r="R94" i="12"/>
  <c r="L94" i="12"/>
  <c r="K94" i="12"/>
  <c r="H94" i="12"/>
  <c r="AH93" i="12"/>
  <c r="AF93" i="12" s="1"/>
  <c r="AD93" i="12"/>
  <c r="Z93" i="12"/>
  <c r="R93" i="12"/>
  <c r="L93" i="12"/>
  <c r="K93" i="12"/>
  <c r="H93" i="12"/>
  <c r="AH92" i="12"/>
  <c r="AF92" i="12" s="1"/>
  <c r="AD92" i="12"/>
  <c r="Z92" i="12"/>
  <c r="R92" i="12"/>
  <c r="L92" i="12"/>
  <c r="K92" i="12"/>
  <c r="H92" i="12"/>
  <c r="AH117" i="12"/>
  <c r="AF117" i="12" s="1"/>
  <c r="AD117" i="12"/>
  <c r="Z117" i="12"/>
  <c r="R117" i="12"/>
  <c r="M117" i="12"/>
  <c r="L117" i="12"/>
  <c r="K117" i="12"/>
  <c r="H117" i="12"/>
  <c r="AH118" i="12"/>
  <c r="AF118" i="12" s="1"/>
  <c r="AD118" i="12"/>
  <c r="Z118" i="12"/>
  <c r="R118" i="12"/>
  <c r="L118" i="12"/>
  <c r="K118" i="12"/>
  <c r="H118" i="12"/>
  <c r="AH111" i="12"/>
  <c r="AF111" i="12" s="1"/>
  <c r="AD111" i="12"/>
  <c r="Z111" i="12"/>
  <c r="R111" i="12"/>
  <c r="L111" i="12"/>
  <c r="K111" i="12"/>
  <c r="H111" i="12"/>
  <c r="AH110" i="12"/>
  <c r="AF110" i="12" s="1"/>
  <c r="AD110" i="12"/>
  <c r="Z110" i="12"/>
  <c r="R110" i="12"/>
  <c r="L110" i="12"/>
  <c r="K110" i="12"/>
  <c r="H110" i="12"/>
  <c r="AH109" i="12"/>
  <c r="AF109" i="12" s="1"/>
  <c r="AD109" i="12"/>
  <c r="Z109" i="12"/>
  <c r="R109" i="12"/>
  <c r="L109" i="12"/>
  <c r="K109" i="12"/>
  <c r="H109" i="12"/>
  <c r="AH103" i="12"/>
  <c r="AF103" i="12" s="1"/>
  <c r="AD103" i="12"/>
  <c r="Z103" i="12"/>
  <c r="R103" i="12"/>
  <c r="L103" i="12"/>
  <c r="K103" i="12"/>
  <c r="H103" i="12"/>
  <c r="AH102" i="12"/>
  <c r="AF102" i="12" s="1"/>
  <c r="AD102" i="12"/>
  <c r="Z102" i="12"/>
  <c r="R102" i="12"/>
  <c r="L102" i="12"/>
  <c r="K102" i="12"/>
  <c r="H102" i="12"/>
  <c r="AH101" i="12"/>
  <c r="AF101" i="12" s="1"/>
  <c r="AD101" i="12"/>
  <c r="Z101" i="12"/>
  <c r="R101" i="12"/>
  <c r="L101" i="12"/>
  <c r="K101" i="12"/>
  <c r="H101" i="12"/>
  <c r="AK58" i="12"/>
  <c r="AO58" i="12" s="1"/>
  <c r="AK59" i="12"/>
  <c r="AO59" i="12" s="1"/>
  <c r="AK112" i="12"/>
  <c r="AK113" i="12"/>
  <c r="AK114" i="12"/>
  <c r="AK119" i="12"/>
  <c r="AK120" i="12"/>
  <c r="AK121" i="12"/>
  <c r="AK123" i="12"/>
  <c r="AK122" i="12"/>
  <c r="Z113" i="12"/>
  <c r="AD113" i="12"/>
  <c r="AH113" i="12"/>
  <c r="AF113" i="12" s="1"/>
  <c r="Z114" i="12"/>
  <c r="AD114" i="12"/>
  <c r="AH114" i="12"/>
  <c r="AF114" i="12" s="1"/>
  <c r="Z119" i="12"/>
  <c r="AD119" i="12"/>
  <c r="AH119" i="12"/>
  <c r="AF119" i="12" s="1"/>
  <c r="Z120" i="12"/>
  <c r="AD120" i="12"/>
  <c r="AH120" i="12"/>
  <c r="AF120" i="12" s="1"/>
  <c r="Z121" i="12"/>
  <c r="AD121" i="12"/>
  <c r="AH121" i="12"/>
  <c r="AF121" i="12" s="1"/>
  <c r="Z123" i="12"/>
  <c r="AD123" i="12"/>
  <c r="AH123" i="12"/>
  <c r="AF123" i="12" s="1"/>
  <c r="Z122" i="12"/>
  <c r="AD122" i="12"/>
  <c r="AH122" i="12"/>
  <c r="AF122" i="12" s="1"/>
  <c r="Z112" i="12"/>
  <c r="AH112" i="12"/>
  <c r="AF112" i="12" s="1"/>
  <c r="AD112" i="12"/>
  <c r="H113" i="12"/>
  <c r="H114" i="12"/>
  <c r="H119" i="12"/>
  <c r="H120" i="12"/>
  <c r="H121" i="12"/>
  <c r="H123" i="12"/>
  <c r="H122" i="12"/>
  <c r="M122" i="12"/>
  <c r="L122" i="12"/>
  <c r="K122" i="12"/>
  <c r="R122" i="12"/>
  <c r="R123" i="12"/>
  <c r="L123" i="12"/>
  <c r="K123" i="12"/>
  <c r="R120" i="12"/>
  <c r="R121" i="12"/>
  <c r="K121" i="12"/>
  <c r="L121" i="12"/>
  <c r="K120" i="12"/>
  <c r="L120" i="12"/>
  <c r="R119" i="12"/>
  <c r="L119" i="12"/>
  <c r="K119" i="12"/>
  <c r="R114" i="12"/>
  <c r="R113" i="12"/>
  <c r="L114" i="12"/>
  <c r="K114" i="12"/>
  <c r="L113" i="12"/>
  <c r="K113" i="12"/>
  <c r="R112" i="12"/>
  <c r="L112" i="12"/>
  <c r="K112" i="12"/>
  <c r="L100" i="12"/>
  <c r="K100" i="12"/>
  <c r="L91" i="12"/>
  <c r="K91" i="12"/>
  <c r="L82" i="12"/>
  <c r="K82" i="12"/>
  <c r="L53" i="12"/>
  <c r="K53" i="12"/>
  <c r="L42" i="12"/>
  <c r="K42" i="12"/>
  <c r="L31" i="12"/>
  <c r="K31" i="12"/>
  <c r="L81" i="12"/>
  <c r="K81" i="12"/>
  <c r="L72" i="12"/>
  <c r="K72" i="12"/>
  <c r="L63" i="12"/>
  <c r="K63" i="12"/>
  <c r="L43" i="12"/>
  <c r="K43" i="12"/>
  <c r="L29" i="12"/>
  <c r="K29" i="12"/>
  <c r="L27" i="12"/>
  <c r="K27" i="12"/>
  <c r="L52" i="12"/>
  <c r="K52" i="12"/>
  <c r="L48" i="12"/>
  <c r="K48" i="12"/>
  <c r="L44" i="12"/>
  <c r="K44" i="12"/>
  <c r="L30" i="12"/>
  <c r="K30" i="12"/>
  <c r="L25" i="12"/>
  <c r="K25" i="12"/>
  <c r="L19" i="12"/>
  <c r="K19" i="12"/>
  <c r="L40" i="12"/>
  <c r="K40" i="12"/>
  <c r="L36" i="12"/>
  <c r="K36" i="12"/>
  <c r="L35" i="12"/>
  <c r="K35" i="12"/>
  <c r="L26" i="12"/>
  <c r="K26" i="12"/>
  <c r="L18" i="12"/>
  <c r="K18" i="12"/>
  <c r="L16" i="12"/>
  <c r="K16" i="12"/>
  <c r="L62" i="12"/>
  <c r="K62" i="12"/>
  <c r="L61" i="12"/>
  <c r="K61" i="12"/>
  <c r="L60" i="12"/>
  <c r="K60" i="12"/>
  <c r="L41" i="12"/>
  <c r="K41" i="12"/>
  <c r="L28" i="12"/>
  <c r="K28" i="12"/>
  <c r="L24" i="12"/>
  <c r="K24" i="12"/>
  <c r="L34" i="12"/>
  <c r="K34" i="12"/>
  <c r="L33" i="12"/>
  <c r="K33" i="12"/>
  <c r="L32" i="12"/>
  <c r="K32" i="12"/>
  <c r="L23" i="12"/>
  <c r="K23" i="12"/>
  <c r="L17" i="12"/>
  <c r="K17" i="12"/>
  <c r="L15" i="12"/>
  <c r="K15" i="12"/>
  <c r="L22" i="12"/>
  <c r="K22" i="12"/>
  <c r="L21" i="12"/>
  <c r="K21" i="12"/>
  <c r="L20" i="12"/>
  <c r="K20" i="12"/>
  <c r="L14" i="12"/>
  <c r="K14" i="12"/>
  <c r="L10" i="12"/>
  <c r="K10" i="12"/>
  <c r="L9" i="12"/>
  <c r="K9" i="12"/>
  <c r="L13" i="12"/>
  <c r="L12" i="12"/>
  <c r="L11" i="12"/>
  <c r="L8" i="12"/>
  <c r="L7" i="12"/>
  <c r="K13" i="12"/>
  <c r="K12" i="12"/>
  <c r="K11" i="12"/>
  <c r="K8" i="12"/>
  <c r="K7" i="12"/>
  <c r="M31" i="12"/>
  <c r="M27" i="12"/>
  <c r="M19" i="12"/>
  <c r="M16" i="12"/>
  <c r="M24" i="12"/>
  <c r="M15" i="12"/>
  <c r="M9" i="12"/>
  <c r="N7" i="12"/>
  <c r="O7" i="12"/>
  <c r="N8" i="12"/>
  <c r="O8" i="12"/>
  <c r="N11" i="12"/>
  <c r="O11" i="12"/>
  <c r="N12" i="12"/>
  <c r="O12" i="12"/>
  <c r="N13" i="12"/>
  <c r="O13" i="12"/>
  <c r="N9" i="12"/>
  <c r="O9" i="12"/>
  <c r="N10" i="12"/>
  <c r="O10" i="12"/>
  <c r="N14" i="12"/>
  <c r="O14" i="12"/>
  <c r="N20" i="12"/>
  <c r="O20" i="12"/>
  <c r="N21" i="12"/>
  <c r="O21" i="12"/>
  <c r="N22" i="12"/>
  <c r="O22" i="12"/>
  <c r="N15" i="12"/>
  <c r="O15" i="12"/>
  <c r="N17" i="12"/>
  <c r="O17" i="12"/>
  <c r="N23" i="12"/>
  <c r="O23" i="12"/>
  <c r="N32" i="12"/>
  <c r="O32" i="12"/>
  <c r="N33" i="12"/>
  <c r="O33" i="12"/>
  <c r="N34" i="12"/>
  <c r="O34" i="12"/>
  <c r="N24" i="12"/>
  <c r="O24" i="12"/>
  <c r="N28" i="12"/>
  <c r="O28" i="12"/>
  <c r="N41" i="12"/>
  <c r="O41" i="12"/>
  <c r="N60" i="12"/>
  <c r="O60" i="12"/>
  <c r="N61" i="12"/>
  <c r="O61" i="12"/>
  <c r="N62" i="12"/>
  <c r="O62" i="12"/>
  <c r="N16" i="12"/>
  <c r="O16" i="12"/>
  <c r="N18" i="12"/>
  <c r="O18" i="12"/>
  <c r="N26" i="12"/>
  <c r="O26" i="12"/>
  <c r="N35" i="12"/>
  <c r="O35" i="12"/>
  <c r="N36" i="12"/>
  <c r="O36" i="12"/>
  <c r="N40" i="12"/>
  <c r="O40" i="12"/>
  <c r="N19" i="12"/>
  <c r="O19" i="12"/>
  <c r="N25" i="12"/>
  <c r="O25" i="12"/>
  <c r="N30" i="12"/>
  <c r="O30" i="12"/>
  <c r="N44" i="12"/>
  <c r="O44" i="12"/>
  <c r="N48" i="12"/>
  <c r="O48" i="12"/>
  <c r="N52" i="12"/>
  <c r="O52" i="12"/>
  <c r="N27" i="12"/>
  <c r="O27" i="12"/>
  <c r="N29" i="12"/>
  <c r="O29" i="12"/>
  <c r="N43" i="12"/>
  <c r="O43" i="12"/>
  <c r="N63" i="12"/>
  <c r="O63" i="12"/>
  <c r="N72" i="12"/>
  <c r="O72" i="12"/>
  <c r="N81" i="12"/>
  <c r="O81" i="12"/>
  <c r="N31" i="12"/>
  <c r="O31" i="12"/>
  <c r="N42" i="12"/>
  <c r="O42" i="12"/>
  <c r="N53" i="12"/>
  <c r="O53" i="12"/>
  <c r="N82" i="12"/>
  <c r="O82" i="12"/>
  <c r="N91" i="12"/>
  <c r="O91" i="12"/>
  <c r="N100" i="12"/>
  <c r="O100" i="12"/>
  <c r="R7" i="12"/>
  <c r="R8" i="12"/>
  <c r="R11" i="12"/>
  <c r="R12" i="12"/>
  <c r="R13" i="12"/>
  <c r="R9" i="12"/>
  <c r="R10" i="12"/>
  <c r="R14" i="12"/>
  <c r="R20" i="12"/>
  <c r="R21" i="12"/>
  <c r="R22" i="12"/>
  <c r="R15" i="12"/>
  <c r="R17" i="12"/>
  <c r="R23" i="12"/>
  <c r="R32" i="12"/>
  <c r="R33" i="12"/>
  <c r="R34" i="12"/>
  <c r="R24" i="12"/>
  <c r="R28" i="12"/>
  <c r="R41" i="12"/>
  <c r="R60" i="12"/>
  <c r="R61" i="12"/>
  <c r="R62" i="12"/>
  <c r="R16" i="12"/>
  <c r="R18" i="12"/>
  <c r="R26" i="12"/>
  <c r="R35" i="12"/>
  <c r="R36" i="12"/>
  <c r="R40" i="12"/>
  <c r="R19" i="12"/>
  <c r="R25" i="12"/>
  <c r="R30" i="12"/>
  <c r="R44" i="12"/>
  <c r="R48" i="12"/>
  <c r="R52" i="12"/>
  <c r="R27" i="12"/>
  <c r="R29" i="12"/>
  <c r="R43" i="12"/>
  <c r="R63" i="12"/>
  <c r="R72" i="12"/>
  <c r="R81" i="12"/>
  <c r="R31" i="12"/>
  <c r="R42" i="12"/>
  <c r="R53" i="12"/>
  <c r="R82" i="12"/>
  <c r="R91" i="12"/>
  <c r="R100" i="12"/>
  <c r="R6" i="12"/>
  <c r="O6" i="12"/>
  <c r="N6" i="12"/>
  <c r="M6" i="12"/>
  <c r="L6" i="12"/>
  <c r="K6" i="12"/>
  <c r="H112" i="12"/>
  <c r="H55" i="12"/>
  <c r="H56" i="12"/>
  <c r="H57" i="12"/>
  <c r="H58" i="12"/>
  <c r="H59" i="12"/>
  <c r="H54" i="12"/>
  <c r="AK100" i="12"/>
  <c r="AK54" i="12"/>
  <c r="AO54" i="12" s="1"/>
  <c r="AK55" i="12"/>
  <c r="AO55" i="12" s="1"/>
  <c r="AK56" i="12"/>
  <c r="AO56" i="12" s="1"/>
  <c r="AK57" i="12"/>
  <c r="AO57" i="12" s="1"/>
  <c r="AK16" i="12"/>
  <c r="AK18" i="12"/>
  <c r="AK26" i="12"/>
  <c r="AK35" i="12"/>
  <c r="AK36" i="12"/>
  <c r="AK40" i="12"/>
  <c r="AK19" i="12"/>
  <c r="AK25" i="12"/>
  <c r="AK30" i="12"/>
  <c r="AK44" i="12"/>
  <c r="AK48" i="12"/>
  <c r="AK52" i="12"/>
  <c r="AK27" i="12"/>
  <c r="AK29" i="12"/>
  <c r="AK43" i="12"/>
  <c r="AK63" i="12"/>
  <c r="AK72" i="12"/>
  <c r="AK81" i="12"/>
  <c r="AK31" i="12"/>
  <c r="AK42" i="12"/>
  <c r="AK53" i="12"/>
  <c r="AK82" i="12"/>
  <c r="AK91" i="12"/>
  <c r="AC16" i="12"/>
  <c r="Z16" i="12" s="1"/>
  <c r="AD16" i="12"/>
  <c r="AE16" i="12"/>
  <c r="AG16" i="12"/>
  <c r="AH16" i="12"/>
  <c r="AC18" i="12"/>
  <c r="Z18" i="12" s="1"/>
  <c r="AD18" i="12"/>
  <c r="AE18" i="12"/>
  <c r="AG18" i="12"/>
  <c r="AH18" i="12"/>
  <c r="AC26" i="12"/>
  <c r="Z26" i="12" s="1"/>
  <c r="AD26" i="12"/>
  <c r="AE26" i="12"/>
  <c r="AG26" i="12"/>
  <c r="AH26" i="12"/>
  <c r="AC35" i="12"/>
  <c r="Z35" i="12" s="1"/>
  <c r="AD35" i="12"/>
  <c r="AE35" i="12"/>
  <c r="AG35" i="12"/>
  <c r="AH35" i="12"/>
  <c r="AC36" i="12"/>
  <c r="Z36" i="12" s="1"/>
  <c r="AD36" i="12"/>
  <c r="AE36" i="12"/>
  <c r="AG36" i="12"/>
  <c r="AH36" i="12"/>
  <c r="AC40" i="12"/>
  <c r="Z40" i="12" s="1"/>
  <c r="AD40" i="12"/>
  <c r="AE40" i="12"/>
  <c r="AG40" i="12"/>
  <c r="AH40" i="12"/>
  <c r="AC19" i="12"/>
  <c r="Z19" i="12" s="1"/>
  <c r="AD19" i="12"/>
  <c r="AE19" i="12"/>
  <c r="AG19" i="12"/>
  <c r="AH19" i="12"/>
  <c r="AC25" i="12"/>
  <c r="Z25" i="12" s="1"/>
  <c r="AD25" i="12"/>
  <c r="AE25" i="12"/>
  <c r="AG25" i="12"/>
  <c r="AH25" i="12"/>
  <c r="AC30" i="12"/>
  <c r="Z30" i="12" s="1"/>
  <c r="AD30" i="12"/>
  <c r="AE30" i="12"/>
  <c r="AG30" i="12"/>
  <c r="AH30" i="12"/>
  <c r="AC44" i="12"/>
  <c r="Z44" i="12" s="1"/>
  <c r="AD44" i="12"/>
  <c r="AE44" i="12"/>
  <c r="AG44" i="12"/>
  <c r="AH44" i="12"/>
  <c r="AC48" i="12"/>
  <c r="Z48" i="12" s="1"/>
  <c r="AD48" i="12"/>
  <c r="AE48" i="12"/>
  <c r="AG48" i="12"/>
  <c r="AH48" i="12"/>
  <c r="AC52" i="12"/>
  <c r="Z52" i="12" s="1"/>
  <c r="AD52" i="12"/>
  <c r="AE52" i="12"/>
  <c r="AG52" i="12"/>
  <c r="AH52" i="12"/>
  <c r="AC27" i="12"/>
  <c r="Z27" i="12" s="1"/>
  <c r="AD27" i="12"/>
  <c r="AE27" i="12"/>
  <c r="AG27" i="12"/>
  <c r="AH27" i="12"/>
  <c r="AC29" i="12"/>
  <c r="Z29" i="12" s="1"/>
  <c r="AD29" i="12"/>
  <c r="AE29" i="12"/>
  <c r="AG29" i="12"/>
  <c r="AH29" i="12"/>
  <c r="AC43" i="12"/>
  <c r="Z43" i="12" s="1"/>
  <c r="AD43" i="12"/>
  <c r="AE43" i="12"/>
  <c r="AG43" i="12"/>
  <c r="AH43" i="12"/>
  <c r="AC63" i="12"/>
  <c r="Z63" i="12" s="1"/>
  <c r="AD63" i="12"/>
  <c r="AE63" i="12"/>
  <c r="AG63" i="12"/>
  <c r="AH63" i="12"/>
  <c r="AC72" i="12"/>
  <c r="Z72" i="12" s="1"/>
  <c r="AD72" i="12"/>
  <c r="AE72" i="12"/>
  <c r="AG72" i="12"/>
  <c r="AH72" i="12"/>
  <c r="AC81" i="12"/>
  <c r="Z81" i="12" s="1"/>
  <c r="AD81" i="12"/>
  <c r="AE81" i="12"/>
  <c r="AG81" i="12"/>
  <c r="AH81" i="12"/>
  <c r="AC31" i="12"/>
  <c r="Z31" i="12" s="1"/>
  <c r="AD31" i="12"/>
  <c r="AE31" i="12"/>
  <c r="AG31" i="12"/>
  <c r="AH31" i="12"/>
  <c r="AC42" i="12"/>
  <c r="Z42" i="12" s="1"/>
  <c r="AD42" i="12"/>
  <c r="AE42" i="12"/>
  <c r="AG42" i="12"/>
  <c r="AH42" i="12"/>
  <c r="AC53" i="12"/>
  <c r="Z53" i="12" s="1"/>
  <c r="AD53" i="12"/>
  <c r="AE53" i="12"/>
  <c r="AG53" i="12"/>
  <c r="AH53" i="12"/>
  <c r="AC82" i="12"/>
  <c r="Z82" i="12" s="1"/>
  <c r="AD82" i="12"/>
  <c r="AE82" i="12"/>
  <c r="AG82" i="12"/>
  <c r="AH82" i="12"/>
  <c r="AC91" i="12"/>
  <c r="Z91" i="12" s="1"/>
  <c r="AD91" i="12"/>
  <c r="AE91" i="12"/>
  <c r="AG91" i="12"/>
  <c r="AH91" i="12"/>
  <c r="AC100" i="12"/>
  <c r="Z100" i="12" s="1"/>
  <c r="AD100" i="12"/>
  <c r="AE100" i="12"/>
  <c r="AG100" i="12"/>
  <c r="AH100" i="12"/>
  <c r="AG9" i="12"/>
  <c r="AH9" i="12"/>
  <c r="AK9" i="12"/>
  <c r="AG10" i="12"/>
  <c r="AH10" i="12"/>
  <c r="AK10" i="12"/>
  <c r="AG14" i="12"/>
  <c r="AH14" i="12"/>
  <c r="AK14" i="12"/>
  <c r="AG20" i="12"/>
  <c r="AH20" i="12"/>
  <c r="AK20" i="12"/>
  <c r="AG21" i="12"/>
  <c r="AH21" i="12"/>
  <c r="AK21" i="12"/>
  <c r="AG22" i="12"/>
  <c r="AH22" i="12"/>
  <c r="AK22" i="12"/>
  <c r="AG15" i="12"/>
  <c r="AH15" i="12"/>
  <c r="AK15" i="12"/>
  <c r="AG17" i="12"/>
  <c r="AH17" i="12"/>
  <c r="AK17" i="12"/>
  <c r="AG23" i="12"/>
  <c r="AH23" i="12"/>
  <c r="AK23" i="12"/>
  <c r="AG32" i="12"/>
  <c r="AH32" i="12"/>
  <c r="AK32" i="12"/>
  <c r="AG33" i="12"/>
  <c r="AH33" i="12"/>
  <c r="AK33" i="12"/>
  <c r="AG34" i="12"/>
  <c r="AH34" i="12"/>
  <c r="AK34" i="12"/>
  <c r="AG24" i="12"/>
  <c r="AH24" i="12"/>
  <c r="AK24" i="12"/>
  <c r="AG28" i="12"/>
  <c r="AH28" i="12"/>
  <c r="AK28" i="12"/>
  <c r="AG41" i="12"/>
  <c r="AH41" i="12"/>
  <c r="AK41" i="12"/>
  <c r="AG60" i="12"/>
  <c r="AH60" i="12"/>
  <c r="AK60" i="12"/>
  <c r="AG61" i="12"/>
  <c r="AH61" i="12"/>
  <c r="AK61" i="12"/>
  <c r="AG62" i="12"/>
  <c r="AH62" i="12"/>
  <c r="AK62" i="12"/>
  <c r="AC9" i="12"/>
  <c r="Z9" i="12" s="1"/>
  <c r="AD9" i="12"/>
  <c r="AE9" i="12"/>
  <c r="AC10" i="12"/>
  <c r="Z10" i="12" s="1"/>
  <c r="AD10" i="12"/>
  <c r="AE10" i="12"/>
  <c r="AC14" i="12"/>
  <c r="Z14" i="12" s="1"/>
  <c r="AD14" i="12"/>
  <c r="AE14" i="12"/>
  <c r="AC20" i="12"/>
  <c r="Z20" i="12" s="1"/>
  <c r="AD20" i="12"/>
  <c r="AE20" i="12"/>
  <c r="AC21" i="12"/>
  <c r="Z21" i="12" s="1"/>
  <c r="AD21" i="12"/>
  <c r="AE21" i="12"/>
  <c r="AC22" i="12"/>
  <c r="Z22" i="12" s="1"/>
  <c r="AD22" i="12"/>
  <c r="AE22" i="12"/>
  <c r="AC15" i="12"/>
  <c r="Z15" i="12" s="1"/>
  <c r="AD15" i="12"/>
  <c r="AE15" i="12"/>
  <c r="AC17" i="12"/>
  <c r="Z17" i="12" s="1"/>
  <c r="AD17" i="12"/>
  <c r="AE17" i="12"/>
  <c r="AC23" i="12"/>
  <c r="Z23" i="12" s="1"/>
  <c r="AD23" i="12"/>
  <c r="AE23" i="12"/>
  <c r="AC32" i="12"/>
  <c r="Z32" i="12" s="1"/>
  <c r="AD32" i="12"/>
  <c r="AE32" i="12"/>
  <c r="AC33" i="12"/>
  <c r="Z33" i="12" s="1"/>
  <c r="AD33" i="12"/>
  <c r="AE33" i="12"/>
  <c r="AC34" i="12"/>
  <c r="Z34" i="12" s="1"/>
  <c r="AD34" i="12"/>
  <c r="AE34" i="12"/>
  <c r="AC24" i="12"/>
  <c r="Z24" i="12" s="1"/>
  <c r="AD24" i="12"/>
  <c r="AE24" i="12"/>
  <c r="AC28" i="12"/>
  <c r="Z28" i="12" s="1"/>
  <c r="AD28" i="12"/>
  <c r="AE28" i="12"/>
  <c r="AC41" i="12"/>
  <c r="Z41" i="12" s="1"/>
  <c r="AD41" i="12"/>
  <c r="AE41" i="12"/>
  <c r="AC60" i="12"/>
  <c r="Z60" i="12" s="1"/>
  <c r="AD60" i="12"/>
  <c r="AE60" i="12"/>
  <c r="AC61" i="12"/>
  <c r="Z61" i="12" s="1"/>
  <c r="AD61" i="12"/>
  <c r="AE61" i="12"/>
  <c r="AC62" i="12"/>
  <c r="Z62" i="12" s="1"/>
  <c r="AD62" i="12"/>
  <c r="AE62" i="12"/>
  <c r="H8" i="12"/>
  <c r="H11" i="12"/>
  <c r="H12" i="12"/>
  <c r="H13" i="12"/>
  <c r="H9" i="12"/>
  <c r="H10" i="12"/>
  <c r="H14" i="12"/>
  <c r="H20" i="12"/>
  <c r="H21" i="12"/>
  <c r="H22" i="12"/>
  <c r="H15" i="12"/>
  <c r="H17" i="12"/>
  <c r="H23" i="12"/>
  <c r="H32" i="12"/>
  <c r="H33" i="12"/>
  <c r="H34" i="12"/>
  <c r="H24" i="12"/>
  <c r="H28" i="12"/>
  <c r="H41" i="12"/>
  <c r="H60" i="12"/>
  <c r="H61" i="12"/>
  <c r="H62" i="12"/>
  <c r="H16" i="12"/>
  <c r="H18" i="12"/>
  <c r="H26" i="12"/>
  <c r="H35" i="12"/>
  <c r="H40" i="12"/>
  <c r="H19" i="12"/>
  <c r="H25" i="12"/>
  <c r="H30" i="12"/>
  <c r="H44" i="12"/>
  <c r="H48" i="12"/>
  <c r="H52" i="12"/>
  <c r="H27" i="12"/>
  <c r="H29" i="12"/>
  <c r="H43" i="12"/>
  <c r="H63" i="12"/>
  <c r="H72" i="12"/>
  <c r="H81" i="12"/>
  <c r="H31" i="12"/>
  <c r="H42" i="12"/>
  <c r="H53" i="12"/>
  <c r="H82" i="12"/>
  <c r="H91" i="12"/>
  <c r="H100" i="12"/>
  <c r="AL1" i="12"/>
  <c r="AN1" i="12" s="1"/>
  <c r="AK6" i="12"/>
  <c r="AK7" i="12"/>
  <c r="AK8" i="12"/>
  <c r="AK11" i="12"/>
  <c r="AK12" i="12"/>
  <c r="AK13" i="12"/>
  <c r="AC7" i="12"/>
  <c r="Z7" i="12" s="1"/>
  <c r="AD7" i="12"/>
  <c r="AE7" i="12"/>
  <c r="AG7" i="12"/>
  <c r="AH7" i="12"/>
  <c r="AC8" i="12"/>
  <c r="Z8" i="12" s="1"/>
  <c r="AD8" i="12"/>
  <c r="AE8" i="12"/>
  <c r="AG8" i="12"/>
  <c r="AH8" i="12"/>
  <c r="AC11" i="12"/>
  <c r="Z11" i="12" s="1"/>
  <c r="AD11" i="12"/>
  <c r="AE11" i="12"/>
  <c r="AG11" i="12"/>
  <c r="AH11" i="12"/>
  <c r="AC12" i="12"/>
  <c r="Z12" i="12" s="1"/>
  <c r="AD12" i="12"/>
  <c r="AE12" i="12"/>
  <c r="AG12" i="12"/>
  <c r="AH12" i="12"/>
  <c r="AC13" i="12"/>
  <c r="Z13" i="12" s="1"/>
  <c r="AD13" i="12"/>
  <c r="AE13" i="12"/>
  <c r="AG13" i="12"/>
  <c r="AH13" i="12"/>
  <c r="AH6" i="12"/>
  <c r="AG6" i="12"/>
  <c r="AE6" i="12"/>
  <c r="AD6" i="12"/>
  <c r="AC6" i="12"/>
  <c r="H6" i="12"/>
  <c r="I74" i="19" l="1"/>
  <c r="I81" i="19"/>
  <c r="M16" i="19"/>
  <c r="E83" i="19"/>
  <c r="E88" i="19" s="1"/>
  <c r="I39" i="19"/>
  <c r="I80" i="19"/>
  <c r="M4" i="19"/>
  <c r="B81" i="19" s="1"/>
  <c r="E81" i="19"/>
  <c r="I89" i="19"/>
  <c r="I94" i="19"/>
  <c r="I99" i="19"/>
  <c r="D154" i="12"/>
  <c r="M10" i="19"/>
  <c r="M15" i="19"/>
  <c r="I73" i="19"/>
  <c r="C61" i="19"/>
  <c r="C66" i="19" s="1"/>
  <c r="I34" i="19"/>
  <c r="I44" i="19"/>
  <c r="I45" i="19"/>
  <c r="M6" i="19"/>
  <c r="M11" i="19"/>
  <c r="M5" i="19"/>
  <c r="I69" i="19"/>
  <c r="M12" i="19"/>
  <c r="M17" i="19"/>
  <c r="M7" i="19"/>
  <c r="I40" i="19"/>
  <c r="I46" i="19"/>
  <c r="I41" i="19"/>
  <c r="I70" i="19"/>
  <c r="I36" i="19"/>
  <c r="I75" i="19"/>
  <c r="I35" i="19"/>
  <c r="M9" i="19"/>
  <c r="M14" i="19"/>
  <c r="I72" i="19"/>
  <c r="I67" i="19"/>
  <c r="I43" i="19"/>
  <c r="I38" i="19"/>
  <c r="D136" i="12"/>
  <c r="D135" i="12"/>
  <c r="E153" i="12"/>
  <c r="E145" i="12"/>
  <c r="E155" i="12"/>
  <c r="F155" i="12" s="1"/>
  <c r="S124" i="12"/>
  <c r="D124" i="12" s="1"/>
  <c r="S126" i="12"/>
  <c r="D126" i="12" s="1"/>
  <c r="D127" i="12"/>
  <c r="D138" i="12"/>
  <c r="S125" i="12"/>
  <c r="D125" i="12" s="1"/>
  <c r="D153" i="12"/>
  <c r="E154" i="12"/>
  <c r="D155" i="12"/>
  <c r="D152" i="12"/>
  <c r="E141" i="12"/>
  <c r="D143" i="12"/>
  <c r="E152" i="12"/>
  <c r="D151" i="12"/>
  <c r="E151" i="12"/>
  <c r="AO151" i="12" s="1"/>
  <c r="E148" i="12"/>
  <c r="E150" i="12"/>
  <c r="D139" i="12"/>
  <c r="E144" i="12"/>
  <c r="E147" i="12"/>
  <c r="D141" i="12"/>
  <c r="I132" i="12"/>
  <c r="E132" i="12" s="1"/>
  <c r="E146" i="12"/>
  <c r="E149" i="12"/>
  <c r="E143" i="12"/>
  <c r="E138" i="12"/>
  <c r="E139" i="12"/>
  <c r="E135" i="12"/>
  <c r="I131" i="12"/>
  <c r="E131" i="12" s="1"/>
  <c r="D140" i="12"/>
  <c r="D142" i="12"/>
  <c r="E142" i="12"/>
  <c r="E140" i="12"/>
  <c r="E137" i="12"/>
  <c r="D137" i="12"/>
  <c r="D133" i="12"/>
  <c r="E133" i="12"/>
  <c r="E134" i="12"/>
  <c r="D134" i="12"/>
  <c r="E136" i="12"/>
  <c r="I113" i="12"/>
  <c r="D113" i="12" s="1"/>
  <c r="I101" i="12"/>
  <c r="E101" i="12" s="1"/>
  <c r="I110" i="12"/>
  <c r="E110" i="12" s="1"/>
  <c r="I93" i="12"/>
  <c r="E93" i="12" s="1"/>
  <c r="I106" i="12"/>
  <c r="I83" i="12"/>
  <c r="E83" i="12" s="1"/>
  <c r="I96" i="12"/>
  <c r="E96" i="12" s="1"/>
  <c r="I74" i="12"/>
  <c r="E74" i="12" s="1"/>
  <c r="I88" i="12"/>
  <c r="E88" i="12" s="1"/>
  <c r="I69" i="12"/>
  <c r="D69" i="12" s="1"/>
  <c r="I90" i="12"/>
  <c r="D90" i="12" s="1"/>
  <c r="I112" i="12"/>
  <c r="E112" i="12" s="1"/>
  <c r="I109" i="12"/>
  <c r="E109" i="12" s="1"/>
  <c r="I92" i="12"/>
  <c r="E92" i="12" s="1"/>
  <c r="I105" i="12"/>
  <c r="D105" i="12" s="1"/>
  <c r="I95" i="12"/>
  <c r="E95" i="12" s="1"/>
  <c r="I73" i="12"/>
  <c r="E73" i="12" s="1"/>
  <c r="I87" i="12"/>
  <c r="E87" i="12" s="1"/>
  <c r="I45" i="12"/>
  <c r="E45" i="12" s="1"/>
  <c r="I47" i="12"/>
  <c r="E47" i="12" s="1"/>
  <c r="I64" i="12"/>
  <c r="E64" i="12" s="1"/>
  <c r="I65" i="12"/>
  <c r="E65" i="12" s="1"/>
  <c r="I77" i="12"/>
  <c r="E77" i="12" s="1"/>
  <c r="D128" i="12"/>
  <c r="E128" i="12"/>
  <c r="I6" i="12"/>
  <c r="E6" i="12" s="1"/>
  <c r="I9" i="12"/>
  <c r="I14" i="12"/>
  <c r="E14" i="12" s="1"/>
  <c r="I21" i="12"/>
  <c r="E21" i="12" s="1"/>
  <c r="I15" i="12"/>
  <c r="E15" i="12" s="1"/>
  <c r="I23" i="12"/>
  <c r="E23" i="12" s="1"/>
  <c r="I33" i="12"/>
  <c r="E33" i="12" s="1"/>
  <c r="I24" i="12"/>
  <c r="I41" i="12"/>
  <c r="E41" i="12" s="1"/>
  <c r="I61" i="12"/>
  <c r="E61" i="12" s="1"/>
  <c r="I16" i="12"/>
  <c r="E16" i="12" s="1"/>
  <c r="I26" i="12"/>
  <c r="E26" i="12" s="1"/>
  <c r="I36" i="12"/>
  <c r="E36" i="12" s="1"/>
  <c r="I19" i="12"/>
  <c r="E19" i="12" s="1"/>
  <c r="I30" i="12"/>
  <c r="E30" i="12" s="1"/>
  <c r="I48" i="12"/>
  <c r="E48" i="12" s="1"/>
  <c r="I27" i="12"/>
  <c r="E27" i="12" s="1"/>
  <c r="I43" i="12"/>
  <c r="E43" i="12" s="1"/>
  <c r="I72" i="12"/>
  <c r="E72" i="12" s="1"/>
  <c r="I31" i="12"/>
  <c r="E31" i="12" s="1"/>
  <c r="I53" i="12"/>
  <c r="I91" i="12"/>
  <c r="E91" i="12" s="1"/>
  <c r="I117" i="12"/>
  <c r="I115" i="12"/>
  <c r="I107" i="12"/>
  <c r="E107" i="12" s="1"/>
  <c r="I76" i="12"/>
  <c r="E76" i="12" s="1"/>
  <c r="I12" i="12"/>
  <c r="E12" i="12" s="1"/>
  <c r="I114" i="12"/>
  <c r="E114" i="12" s="1"/>
  <c r="I119" i="12"/>
  <c r="E119" i="12" s="1"/>
  <c r="I120" i="12"/>
  <c r="E120" i="12" s="1"/>
  <c r="I103" i="12"/>
  <c r="D103" i="12" s="1"/>
  <c r="I118" i="12"/>
  <c r="E118" i="12" s="1"/>
  <c r="I104" i="12"/>
  <c r="E104" i="12" s="1"/>
  <c r="I85" i="12"/>
  <c r="E85" i="12" s="1"/>
  <c r="I108" i="12"/>
  <c r="E108" i="12" s="1"/>
  <c r="I86" i="12"/>
  <c r="E86" i="12" s="1"/>
  <c r="I98" i="12"/>
  <c r="D98" i="12" s="1"/>
  <c r="I67" i="12"/>
  <c r="D67" i="12" s="1"/>
  <c r="I79" i="12"/>
  <c r="D79" i="12" s="1"/>
  <c r="I8" i="12"/>
  <c r="E8" i="12" s="1"/>
  <c r="I11" i="12"/>
  <c r="E11" i="12" s="1"/>
  <c r="I7" i="12"/>
  <c r="E7" i="12" s="1"/>
  <c r="I13" i="12"/>
  <c r="E13" i="12" s="1"/>
  <c r="I10" i="12"/>
  <c r="E10" i="12" s="1"/>
  <c r="I20" i="12"/>
  <c r="E20" i="12" s="1"/>
  <c r="I22" i="12"/>
  <c r="E22" i="12" s="1"/>
  <c r="I17" i="12"/>
  <c r="E17" i="12" s="1"/>
  <c r="I32" i="12"/>
  <c r="I34" i="12"/>
  <c r="E34" i="12" s="1"/>
  <c r="I28" i="12"/>
  <c r="E28" i="12" s="1"/>
  <c r="I60" i="12"/>
  <c r="E60" i="12" s="1"/>
  <c r="I62" i="12"/>
  <c r="E62" i="12" s="1"/>
  <c r="I18" i="12"/>
  <c r="E18" i="12" s="1"/>
  <c r="I35" i="12"/>
  <c r="E35" i="12" s="1"/>
  <c r="I40" i="12"/>
  <c r="E40" i="12" s="1"/>
  <c r="I25" i="12"/>
  <c r="I44" i="12"/>
  <c r="E44" i="12" s="1"/>
  <c r="I52" i="12"/>
  <c r="E52" i="12" s="1"/>
  <c r="I29" i="12"/>
  <c r="E29" i="12" s="1"/>
  <c r="I63" i="12"/>
  <c r="E63" i="12" s="1"/>
  <c r="I81" i="12"/>
  <c r="E81" i="12" s="1"/>
  <c r="I42" i="12"/>
  <c r="E42" i="12" s="1"/>
  <c r="I82" i="12"/>
  <c r="E82" i="12" s="1"/>
  <c r="I100" i="12"/>
  <c r="E100" i="12" s="1"/>
  <c r="I121" i="12"/>
  <c r="D121" i="12" s="1"/>
  <c r="I123" i="12"/>
  <c r="D123" i="12" s="1"/>
  <c r="I122" i="12"/>
  <c r="E122" i="12" s="1"/>
  <c r="I102" i="12"/>
  <c r="E102" i="12" s="1"/>
  <c r="I111" i="12"/>
  <c r="E111" i="12" s="1"/>
  <c r="I94" i="12"/>
  <c r="D94" i="12" s="1"/>
  <c r="I116" i="12"/>
  <c r="D116" i="12" s="1"/>
  <c r="I84" i="12"/>
  <c r="D84" i="12" s="1"/>
  <c r="I97" i="12"/>
  <c r="E97" i="12" s="1"/>
  <c r="I75" i="12"/>
  <c r="E75" i="12" s="1"/>
  <c r="I99" i="12"/>
  <c r="D99" i="12" s="1"/>
  <c r="I68" i="12"/>
  <c r="D68" i="12" s="1"/>
  <c r="I78" i="12"/>
  <c r="E78" i="12" s="1"/>
  <c r="I80" i="12"/>
  <c r="E80" i="12" s="1"/>
  <c r="I89" i="12"/>
  <c r="E89" i="12" s="1"/>
  <c r="I46" i="12"/>
  <c r="E46" i="12" s="1"/>
  <c r="I66" i="12"/>
  <c r="E66" i="12" s="1"/>
  <c r="I37" i="12"/>
  <c r="D37" i="12" s="1"/>
  <c r="I38" i="12"/>
  <c r="E38" i="12" s="1"/>
  <c r="I39" i="12"/>
  <c r="D39" i="12" s="1"/>
  <c r="I49" i="12"/>
  <c r="E49" i="12" s="1"/>
  <c r="I50" i="12"/>
  <c r="D50" i="12" s="1"/>
  <c r="I51" i="12"/>
  <c r="E51" i="12" s="1"/>
  <c r="I71" i="12"/>
  <c r="D71" i="12" s="1"/>
  <c r="I70" i="12"/>
  <c r="E70" i="12" s="1"/>
  <c r="D130" i="12"/>
  <c r="E130" i="12"/>
  <c r="D129" i="12"/>
  <c r="E129" i="12"/>
  <c r="AF29" i="12"/>
  <c r="AF42" i="12"/>
  <c r="AF63" i="12"/>
  <c r="E127" i="12"/>
  <c r="AF16" i="12"/>
  <c r="AF25" i="12"/>
  <c r="AF40" i="12"/>
  <c r="AF100" i="12"/>
  <c r="AF82" i="12"/>
  <c r="AF61" i="12"/>
  <c r="AF24" i="12"/>
  <c r="AF23" i="12"/>
  <c r="AF21" i="12"/>
  <c r="AF9" i="12"/>
  <c r="AF7" i="12"/>
  <c r="AF62" i="12"/>
  <c r="AF28" i="12"/>
  <c r="AF32" i="12"/>
  <c r="AF22" i="12"/>
  <c r="AF10" i="12"/>
  <c r="AF52" i="12"/>
  <c r="AF35" i="12"/>
  <c r="AF81" i="12"/>
  <c r="AF44" i="12"/>
  <c r="AF18" i="12"/>
  <c r="AF53" i="12"/>
  <c r="AF72" i="12"/>
  <c r="AF27" i="12"/>
  <c r="AF30" i="12"/>
  <c r="AF36" i="12"/>
  <c r="AF91" i="12"/>
  <c r="AF31" i="12"/>
  <c r="AF43" i="12"/>
  <c r="AF48" i="12"/>
  <c r="AF19" i="12"/>
  <c r="AF26" i="12"/>
  <c r="AF13" i="12"/>
  <c r="AF41" i="12"/>
  <c r="AF33" i="12"/>
  <c r="AF15" i="12"/>
  <c r="AF14" i="12"/>
  <c r="AF60" i="12"/>
  <c r="AF34" i="12"/>
  <c r="AF17" i="12"/>
  <c r="AF20" i="12"/>
  <c r="AF11" i="12"/>
  <c r="AF12" i="12"/>
  <c r="AF8" i="12"/>
  <c r="Z6" i="12"/>
  <c r="B84" i="19" l="1"/>
  <c r="B91" i="19"/>
  <c r="E80" i="19"/>
  <c r="E86" i="19"/>
  <c r="E85" i="19" s="1"/>
  <c r="I97" i="19"/>
  <c r="B92" i="19" s="1"/>
  <c r="I87" i="19"/>
  <c r="B82" i="19" s="1"/>
  <c r="I92" i="19"/>
  <c r="B87" i="19" s="1"/>
  <c r="I93" i="19"/>
  <c r="B88" i="19" s="1"/>
  <c r="I98" i="19"/>
  <c r="B93" i="19" s="1"/>
  <c r="I88" i="19"/>
  <c r="B83" i="19" s="1"/>
  <c r="B86" i="19"/>
  <c r="B89" i="19"/>
  <c r="B94" i="19"/>
  <c r="M8" i="19"/>
  <c r="M3" i="19"/>
  <c r="M13" i="19"/>
  <c r="O13" i="19"/>
  <c r="O8" i="19"/>
  <c r="O18" i="19"/>
  <c r="AY89" i="12"/>
  <c r="AO89" i="12"/>
  <c r="F89" i="12"/>
  <c r="AY82" i="12"/>
  <c r="AO82" i="12"/>
  <c r="F82" i="12"/>
  <c r="AY17" i="12"/>
  <c r="AO17" i="12"/>
  <c r="F17" i="12"/>
  <c r="AY30" i="12"/>
  <c r="AO30" i="12"/>
  <c r="F30" i="12"/>
  <c r="AY74" i="12"/>
  <c r="AO74" i="12"/>
  <c r="F74" i="12"/>
  <c r="AO149" i="12"/>
  <c r="F149" i="12"/>
  <c r="AY154" i="12"/>
  <c r="AO154" i="12"/>
  <c r="AY80" i="12"/>
  <c r="AO80" i="12"/>
  <c r="F80" i="12"/>
  <c r="AY35" i="12"/>
  <c r="AO35" i="12"/>
  <c r="F35" i="12"/>
  <c r="AY120" i="12"/>
  <c r="AO120" i="12"/>
  <c r="F120" i="12"/>
  <c r="AY23" i="12"/>
  <c r="AO23" i="12"/>
  <c r="F23" i="12"/>
  <c r="AY129" i="12"/>
  <c r="AO129" i="12"/>
  <c r="F129" i="12"/>
  <c r="AY78" i="12"/>
  <c r="AO78" i="12"/>
  <c r="F78" i="12"/>
  <c r="AY81" i="12"/>
  <c r="AO81" i="12"/>
  <c r="F81" i="12"/>
  <c r="AY20" i="12"/>
  <c r="AO20" i="12"/>
  <c r="F20" i="12"/>
  <c r="AY119" i="12"/>
  <c r="AO119" i="12"/>
  <c r="F119" i="12"/>
  <c r="AY15" i="12"/>
  <c r="AO15" i="12"/>
  <c r="F15" i="12"/>
  <c r="AY92" i="12"/>
  <c r="AO92" i="12"/>
  <c r="F92" i="12"/>
  <c r="AY83" i="12"/>
  <c r="AO83" i="12"/>
  <c r="F83" i="12"/>
  <c r="AO134" i="12"/>
  <c r="F134" i="12"/>
  <c r="AY102" i="12"/>
  <c r="AO102" i="12"/>
  <c r="F102" i="12"/>
  <c r="AY63" i="12"/>
  <c r="AO63" i="12"/>
  <c r="F63" i="12"/>
  <c r="AO62" i="12"/>
  <c r="F62" i="12"/>
  <c r="AY10" i="12"/>
  <c r="AO10" i="12"/>
  <c r="F10" i="12"/>
  <c r="AY86" i="12"/>
  <c r="AO86" i="12"/>
  <c r="F86" i="12"/>
  <c r="AO114" i="12"/>
  <c r="F114" i="12"/>
  <c r="AY31" i="12"/>
  <c r="AO31" i="12"/>
  <c r="F31" i="12"/>
  <c r="AY26" i="12"/>
  <c r="AO26" i="12"/>
  <c r="F26" i="12"/>
  <c r="AY21" i="12"/>
  <c r="AO21" i="12"/>
  <c r="F21" i="12"/>
  <c r="AO64" i="12"/>
  <c r="F64" i="12"/>
  <c r="AO109" i="12"/>
  <c r="F109" i="12"/>
  <c r="AO133" i="12"/>
  <c r="F133" i="12"/>
  <c r="AO131" i="12"/>
  <c r="F131" i="12"/>
  <c r="AY152" i="12"/>
  <c r="AO152" i="12"/>
  <c r="F152" i="12"/>
  <c r="AO136" i="12"/>
  <c r="F136" i="12"/>
  <c r="AO148" i="12"/>
  <c r="F148" i="12"/>
  <c r="AY145" i="12"/>
  <c r="AO145" i="12"/>
  <c r="F145" i="12"/>
  <c r="AY22" i="12"/>
  <c r="AO22" i="12"/>
  <c r="F22" i="12"/>
  <c r="AY91" i="12"/>
  <c r="AO91" i="12"/>
  <c r="F91" i="12"/>
  <c r="AY153" i="12"/>
  <c r="AO153" i="12"/>
  <c r="AY49" i="12"/>
  <c r="AO49" i="12"/>
  <c r="F49" i="12"/>
  <c r="AY111" i="12"/>
  <c r="AO111" i="12"/>
  <c r="F111" i="12"/>
  <c r="AY18" i="12"/>
  <c r="AO18" i="12"/>
  <c r="F18" i="12"/>
  <c r="AY36" i="12"/>
  <c r="AO36" i="12"/>
  <c r="F36" i="12"/>
  <c r="AY65" i="12"/>
  <c r="AO65" i="12"/>
  <c r="F65" i="12"/>
  <c r="AO132" i="12"/>
  <c r="F132" i="12"/>
  <c r="AY130" i="12"/>
  <c r="AO130" i="12"/>
  <c r="F130" i="12"/>
  <c r="AY38" i="12"/>
  <c r="AO38" i="12"/>
  <c r="F38" i="12"/>
  <c r="AO122" i="12"/>
  <c r="F122" i="12"/>
  <c r="AY29" i="12"/>
  <c r="AO29" i="12"/>
  <c r="F29" i="12"/>
  <c r="AY60" i="12"/>
  <c r="AO60" i="12"/>
  <c r="F60" i="12"/>
  <c r="AY13" i="12"/>
  <c r="AO13" i="12"/>
  <c r="F13" i="12"/>
  <c r="AY108" i="12"/>
  <c r="AO108" i="12"/>
  <c r="F108" i="12"/>
  <c r="AY12" i="12"/>
  <c r="AO12" i="12"/>
  <c r="F12" i="12"/>
  <c r="AY72" i="12"/>
  <c r="AO72" i="12"/>
  <c r="F72" i="12"/>
  <c r="AY16" i="12"/>
  <c r="AO16" i="12"/>
  <c r="F16" i="12"/>
  <c r="AY14" i="12"/>
  <c r="AO14" i="12"/>
  <c r="F14" i="12"/>
  <c r="AY47" i="12"/>
  <c r="AO47" i="12"/>
  <c r="F47" i="12"/>
  <c r="AO112" i="12"/>
  <c r="F112" i="12"/>
  <c r="AY93" i="12"/>
  <c r="AO93" i="12"/>
  <c r="F93" i="12"/>
  <c r="AO135" i="12"/>
  <c r="F135" i="12"/>
  <c r="AO147" i="12"/>
  <c r="F147" i="12"/>
  <c r="AY95" i="12"/>
  <c r="AO95" i="12"/>
  <c r="F95" i="12"/>
  <c r="AY19" i="12"/>
  <c r="AO19" i="12"/>
  <c r="F19" i="12"/>
  <c r="AY77" i="12"/>
  <c r="AO77" i="12"/>
  <c r="F77" i="12"/>
  <c r="AY96" i="12"/>
  <c r="AO96" i="12"/>
  <c r="F96" i="12"/>
  <c r="AO146" i="12"/>
  <c r="F146" i="12"/>
  <c r="AY75" i="12"/>
  <c r="AO75" i="12"/>
  <c r="F75" i="12"/>
  <c r="AO52" i="12"/>
  <c r="F52" i="12"/>
  <c r="AO7" i="12"/>
  <c r="F7" i="12"/>
  <c r="AY76" i="12"/>
  <c r="AO76" i="12"/>
  <c r="F76" i="12"/>
  <c r="AY61" i="12"/>
  <c r="AO61" i="12"/>
  <c r="F61" i="12"/>
  <c r="AY110" i="12"/>
  <c r="AO110" i="12"/>
  <c r="F110" i="12"/>
  <c r="AY127" i="12"/>
  <c r="AO127" i="12"/>
  <c r="F127" i="12"/>
  <c r="AY66" i="12"/>
  <c r="AO66" i="12"/>
  <c r="F66" i="12"/>
  <c r="AY44" i="12"/>
  <c r="AO44" i="12"/>
  <c r="F44" i="12"/>
  <c r="AY104" i="12"/>
  <c r="AO104" i="12"/>
  <c r="F104" i="12"/>
  <c r="AY27" i="12"/>
  <c r="AO27" i="12"/>
  <c r="F27" i="12"/>
  <c r="AO6" i="12"/>
  <c r="F6" i="12"/>
  <c r="AY101" i="12"/>
  <c r="AO101" i="12"/>
  <c r="F101" i="12"/>
  <c r="AO137" i="12"/>
  <c r="F137" i="12"/>
  <c r="AY138" i="12"/>
  <c r="AO138" i="12"/>
  <c r="F138" i="12"/>
  <c r="F153" i="12"/>
  <c r="AY51" i="12"/>
  <c r="AO51" i="12"/>
  <c r="F51" i="12"/>
  <c r="AY40" i="12"/>
  <c r="AO40" i="12"/>
  <c r="F40" i="12"/>
  <c r="AY33" i="12"/>
  <c r="AO33" i="12"/>
  <c r="F33" i="12"/>
  <c r="AO142" i="12"/>
  <c r="F142" i="12"/>
  <c r="AY42" i="12"/>
  <c r="AO42" i="12"/>
  <c r="F42" i="12"/>
  <c r="AY28" i="12"/>
  <c r="AO28" i="12"/>
  <c r="F28" i="12"/>
  <c r="AY85" i="12"/>
  <c r="AO85" i="12"/>
  <c r="F85" i="12"/>
  <c r="AY43" i="12"/>
  <c r="AO43" i="12"/>
  <c r="F43" i="12"/>
  <c r="AY45" i="12"/>
  <c r="AO45" i="12"/>
  <c r="F45" i="12"/>
  <c r="AO139" i="12"/>
  <c r="F139" i="12"/>
  <c r="AO144" i="12"/>
  <c r="F144" i="12"/>
  <c r="AY141" i="12"/>
  <c r="AO141" i="12"/>
  <c r="F141" i="12"/>
  <c r="F151" i="12"/>
  <c r="AO70" i="12"/>
  <c r="F70" i="12"/>
  <c r="AY97" i="12"/>
  <c r="AO97" i="12"/>
  <c r="F97" i="12"/>
  <c r="AY34" i="12"/>
  <c r="AO34" i="12"/>
  <c r="F34" i="12"/>
  <c r="AY11" i="12"/>
  <c r="AO11" i="12"/>
  <c r="F11" i="12"/>
  <c r="AY107" i="12"/>
  <c r="AO107" i="12"/>
  <c r="F107" i="12"/>
  <c r="AY41" i="12"/>
  <c r="AO41" i="12"/>
  <c r="F41" i="12"/>
  <c r="AY87" i="12"/>
  <c r="AO87" i="12"/>
  <c r="F87" i="12"/>
  <c r="AO46" i="12"/>
  <c r="F46" i="12"/>
  <c r="AO100" i="12"/>
  <c r="F100" i="12"/>
  <c r="AO8" i="12"/>
  <c r="F8" i="12"/>
  <c r="AY118" i="12"/>
  <c r="AO118" i="12"/>
  <c r="F118" i="12"/>
  <c r="AY48" i="12"/>
  <c r="AO48" i="12"/>
  <c r="F48" i="12"/>
  <c r="AO128" i="12"/>
  <c r="F128" i="12"/>
  <c r="AY73" i="12"/>
  <c r="AO73" i="12"/>
  <c r="F73" i="12"/>
  <c r="AY88" i="12"/>
  <c r="AO88" i="12"/>
  <c r="F88" i="12"/>
  <c r="AO140" i="12"/>
  <c r="F140" i="12"/>
  <c r="AY143" i="12"/>
  <c r="AO143" i="12"/>
  <c r="F143" i="12"/>
  <c r="AO150" i="12"/>
  <c r="F150" i="12"/>
  <c r="AY155" i="12"/>
  <c r="AO155" i="12"/>
  <c r="F154" i="12"/>
  <c r="E124" i="12"/>
  <c r="AY100" i="12"/>
  <c r="E126" i="12"/>
  <c r="E90" i="12"/>
  <c r="E125" i="12"/>
  <c r="AY148" i="12"/>
  <c r="AY150" i="12"/>
  <c r="AX150" i="12"/>
  <c r="AY151" i="12"/>
  <c r="AY144" i="12"/>
  <c r="E113" i="12"/>
  <c r="D28" i="12"/>
  <c r="AX149" i="12"/>
  <c r="AY149" i="12"/>
  <c r="D75" i="12"/>
  <c r="AY147" i="12"/>
  <c r="D52" i="12"/>
  <c r="D80" i="12"/>
  <c r="E123" i="12"/>
  <c r="AY139" i="12"/>
  <c r="D45" i="12"/>
  <c r="D22" i="12"/>
  <c r="D7" i="12"/>
  <c r="E67" i="12"/>
  <c r="AY146" i="12"/>
  <c r="D23" i="12"/>
  <c r="D120" i="12"/>
  <c r="D35" i="12"/>
  <c r="D110" i="12"/>
  <c r="D42" i="12"/>
  <c r="AX140" i="12"/>
  <c r="AY140" i="12"/>
  <c r="E84" i="12"/>
  <c r="AY142" i="12"/>
  <c r="AX139" i="12"/>
  <c r="D95" i="12"/>
  <c r="AY134" i="12"/>
  <c r="AY137" i="12"/>
  <c r="AY136" i="12"/>
  <c r="D92" i="12"/>
  <c r="AY133" i="12"/>
  <c r="AY135" i="12"/>
  <c r="D44" i="12"/>
  <c r="E98" i="12"/>
  <c r="AY131" i="12"/>
  <c r="AX131" i="12"/>
  <c r="D11" i="12"/>
  <c r="D104" i="12"/>
  <c r="D107" i="12"/>
  <c r="AX132" i="12"/>
  <c r="AY132" i="12"/>
  <c r="D30" i="12"/>
  <c r="D93" i="12"/>
  <c r="D112" i="12"/>
  <c r="D74" i="12"/>
  <c r="D33" i="12"/>
  <c r="D72" i="12"/>
  <c r="AY8" i="12"/>
  <c r="AY114" i="12"/>
  <c r="AY46" i="12"/>
  <c r="D114" i="12"/>
  <c r="E69" i="12"/>
  <c r="D118" i="12"/>
  <c r="AY122" i="12"/>
  <c r="AY128" i="12"/>
  <c r="AY64" i="12"/>
  <c r="AY109" i="12"/>
  <c r="AY62" i="12"/>
  <c r="D63" i="12"/>
  <c r="E68" i="12"/>
  <c r="AY112" i="12"/>
  <c r="D10" i="12"/>
  <c r="D62" i="12"/>
  <c r="AY7" i="12"/>
  <c r="AY52" i="12"/>
  <c r="AY70" i="12"/>
  <c r="D108" i="12"/>
  <c r="D48" i="12"/>
  <c r="D82" i="12"/>
  <c r="D29" i="12"/>
  <c r="D40" i="12"/>
  <c r="D88" i="12"/>
  <c r="E116" i="12"/>
  <c r="E79" i="12"/>
  <c r="D26" i="12"/>
  <c r="D31" i="12"/>
  <c r="D122" i="12"/>
  <c r="D73" i="12"/>
  <c r="E103" i="12"/>
  <c r="D64" i="12"/>
  <c r="D60" i="12"/>
  <c r="D13" i="12"/>
  <c r="D109" i="12"/>
  <c r="D51" i="12"/>
  <c r="D9" i="12"/>
  <c r="D17" i="12"/>
  <c r="D24" i="12"/>
  <c r="D25" i="12"/>
  <c r="D32" i="12"/>
  <c r="D36" i="12"/>
  <c r="E121" i="12"/>
  <c r="D8" i="12"/>
  <c r="E9" i="12"/>
  <c r="D19" i="12"/>
  <c r="D91" i="12"/>
  <c r="E32" i="12"/>
  <c r="D119" i="12"/>
  <c r="D97" i="12"/>
  <c r="D100" i="12"/>
  <c r="E71" i="12"/>
  <c r="E25" i="12"/>
  <c r="D20" i="12"/>
  <c r="D81" i="12"/>
  <c r="D18" i="12"/>
  <c r="D102" i="12"/>
  <c r="D70" i="12"/>
  <c r="AX45" i="12"/>
  <c r="AX73" i="12"/>
  <c r="D76" i="12"/>
  <c r="E24" i="12"/>
  <c r="D34" i="12"/>
  <c r="D85" i="12"/>
  <c r="E105" i="12"/>
  <c r="D101" i="12"/>
  <c r="E39" i="12"/>
  <c r="D16" i="12"/>
  <c r="D46" i="12"/>
  <c r="D27" i="12"/>
  <c r="D47" i="12"/>
  <c r="D49" i="12"/>
  <c r="D65" i="12"/>
  <c r="E37" i="12"/>
  <c r="D66" i="12"/>
  <c r="D38" i="12"/>
  <c r="D77" i="12"/>
  <c r="E50" i="12"/>
  <c r="D43" i="12"/>
  <c r="D14" i="12"/>
  <c r="D53" i="12"/>
  <c r="D89" i="12"/>
  <c r="E94" i="12"/>
  <c r="D12" i="12"/>
  <c r="D61" i="12"/>
  <c r="E99" i="12"/>
  <c r="D41" i="12"/>
  <c r="D21" i="12"/>
  <c r="AX83" i="12"/>
  <c r="D87" i="12"/>
  <c r="AX92" i="12"/>
  <c r="AX101" i="12"/>
  <c r="D78" i="12"/>
  <c r="D111" i="12"/>
  <c r="E117" i="12"/>
  <c r="D117" i="12"/>
  <c r="E106" i="12"/>
  <c r="D106" i="12"/>
  <c r="D83" i="12"/>
  <c r="D96" i="12"/>
  <c r="D86" i="12"/>
  <c r="E115" i="12"/>
  <c r="D115" i="12"/>
  <c r="E53" i="12"/>
  <c r="D15" i="12"/>
  <c r="AY6" i="12"/>
  <c r="AF6" i="12"/>
  <c r="D6" i="12" s="1"/>
  <c r="AX155" i="12"/>
  <c r="AX154" i="12"/>
  <c r="AX153" i="12"/>
  <c r="AX152" i="12"/>
  <c r="AX151" i="12"/>
  <c r="AX148" i="12"/>
  <c r="AX147" i="12"/>
  <c r="AX146" i="12"/>
  <c r="AX145" i="12"/>
  <c r="AX144" i="12"/>
  <c r="AX138" i="12"/>
  <c r="AX137" i="12"/>
  <c r="AX136" i="12"/>
  <c r="AX135" i="12"/>
  <c r="AX134" i="12"/>
  <c r="AX133" i="12"/>
  <c r="AX128" i="12"/>
  <c r="AX112" i="12"/>
  <c r="AX59" i="12"/>
  <c r="AX58" i="12"/>
  <c r="AX57" i="12"/>
  <c r="AX56" i="12"/>
  <c r="AX55" i="12"/>
  <c r="AX54" i="12"/>
  <c r="M16" i="1"/>
  <c r="M17" i="1"/>
  <c r="M18" i="1" s="1"/>
  <c r="M21" i="1"/>
  <c r="J21" i="1"/>
  <c r="G21" i="1"/>
  <c r="D21" i="1"/>
  <c r="J17" i="1"/>
  <c r="J18" i="1" s="1"/>
  <c r="G17" i="1"/>
  <c r="G18" i="1" s="1"/>
  <c r="D17" i="1"/>
  <c r="D18" i="1" s="1"/>
  <c r="J16" i="1"/>
  <c r="K15" i="1" s="1"/>
  <c r="G16" i="1"/>
  <c r="H15" i="1" s="1"/>
  <c r="D16" i="1"/>
  <c r="AY99" i="12" l="1"/>
  <c r="AO99" i="12"/>
  <c r="F99" i="12"/>
  <c r="AY84" i="12"/>
  <c r="AO84" i="12"/>
  <c r="F84" i="12"/>
  <c r="AO124" i="12"/>
  <c r="F124" i="12"/>
  <c r="AY71" i="12"/>
  <c r="AO71" i="12"/>
  <c r="F71" i="12"/>
  <c r="AY68" i="12"/>
  <c r="AO68" i="12"/>
  <c r="F68" i="12"/>
  <c r="AY94" i="12"/>
  <c r="AO94" i="12"/>
  <c r="F94" i="12"/>
  <c r="AO39" i="12"/>
  <c r="F39" i="12"/>
  <c r="AO121" i="12"/>
  <c r="F121" i="12"/>
  <c r="AY69" i="12"/>
  <c r="AO69" i="12"/>
  <c r="F69" i="12"/>
  <c r="B90" i="19"/>
  <c r="AY115" i="12"/>
  <c r="AO115" i="12"/>
  <c r="F115" i="12"/>
  <c r="AY50" i="12"/>
  <c r="AO50" i="12"/>
  <c r="F50" i="12"/>
  <c r="AX124" i="12"/>
  <c r="AY37" i="12"/>
  <c r="AO37" i="12"/>
  <c r="F37" i="12"/>
  <c r="AO79" i="12"/>
  <c r="F79" i="12"/>
  <c r="AY125" i="12"/>
  <c r="AO125" i="12"/>
  <c r="F125" i="12"/>
  <c r="AO9" i="12"/>
  <c r="F9" i="12"/>
  <c r="AY124" i="12"/>
  <c r="AY116" i="12"/>
  <c r="AO116" i="12"/>
  <c r="F116" i="12"/>
  <c r="AY98" i="12"/>
  <c r="AO98" i="12"/>
  <c r="F98" i="12"/>
  <c r="E4" i="1"/>
  <c r="E10" i="1"/>
  <c r="AO53" i="12"/>
  <c r="F53" i="12"/>
  <c r="AY32" i="12"/>
  <c r="AO32" i="12"/>
  <c r="F32" i="12"/>
  <c r="AY123" i="12"/>
  <c r="AO123" i="12"/>
  <c r="F123" i="12"/>
  <c r="AO113" i="12"/>
  <c r="F113" i="12"/>
  <c r="AY126" i="12"/>
  <c r="AO126" i="12"/>
  <c r="F126" i="12"/>
  <c r="AO24" i="12"/>
  <c r="F24" i="12"/>
  <c r="AY25" i="12"/>
  <c r="AO25" i="12"/>
  <c r="F25" i="12"/>
  <c r="AY67" i="12"/>
  <c r="AO67" i="12"/>
  <c r="F67" i="12"/>
  <c r="AY106" i="12"/>
  <c r="AO106" i="12"/>
  <c r="F106" i="12"/>
  <c r="AO105" i="12"/>
  <c r="F105" i="12"/>
  <c r="AY90" i="12"/>
  <c r="AO90" i="12"/>
  <c r="F90" i="12"/>
  <c r="AY117" i="12"/>
  <c r="AO117" i="12"/>
  <c r="F117" i="12"/>
  <c r="AY103" i="12"/>
  <c r="AO103" i="12"/>
  <c r="F103" i="12"/>
  <c r="B80" i="19"/>
  <c r="B85" i="19"/>
  <c r="AY113" i="12"/>
  <c r="AX67" i="12"/>
  <c r="AY79" i="12"/>
  <c r="AY39" i="12"/>
  <c r="AY9" i="12"/>
  <c r="AY24" i="12"/>
  <c r="AY53" i="12"/>
  <c r="AY105" i="12"/>
  <c r="AY121" i="12"/>
  <c r="AX37" i="12"/>
  <c r="AX6" i="12"/>
  <c r="E8" i="1"/>
  <c r="E12" i="1"/>
  <c r="K4" i="1"/>
  <c r="E9" i="1"/>
  <c r="E7" i="1"/>
  <c r="E14" i="1"/>
  <c r="H4" i="1"/>
  <c r="E13" i="1"/>
  <c r="K7" i="1"/>
  <c r="E11" i="1"/>
  <c r="E15" i="1"/>
  <c r="K11" i="1"/>
  <c r="K6" i="1"/>
  <c r="K5" i="1"/>
  <c r="H6" i="1"/>
  <c r="H5" i="1"/>
  <c r="E6" i="1"/>
  <c r="E5" i="1"/>
  <c r="H8" i="1"/>
  <c r="K12" i="1"/>
  <c r="H9" i="1"/>
  <c r="K9" i="1"/>
  <c r="H11" i="1"/>
  <c r="H13" i="1"/>
  <c r="H7" i="1"/>
  <c r="H10" i="1"/>
  <c r="K8" i="1"/>
  <c r="K10" i="1"/>
  <c r="K13" i="1"/>
  <c r="K14" i="1"/>
  <c r="H12" i="1"/>
  <c r="H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Shintaro Iwasaki</author>
  </authors>
  <commentList>
    <comment ref="T128" authorId="0" shapeId="0" xr:uid="{00000000-0006-0000-0000-000001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29" authorId="0" shapeId="0" xr:uid="{00000000-0006-0000-0000-000002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0" authorId="0" shapeId="0" xr:uid="{00000000-0006-0000-0000-000003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H131" authorId="0" shapeId="0" xr:uid="{00000000-0006-0000-0000-000004000000}">
      <text>
        <r>
          <rPr>
            <b/>
            <sz val="9"/>
            <color indexed="81"/>
            <rFont val="ＭＳ Ｐゴシック"/>
            <family val="3"/>
            <charset val="128"/>
          </rPr>
          <t>Shintaro Iwasaki:</t>
        </r>
        <r>
          <rPr>
            <sz val="9"/>
            <color indexed="81"/>
            <rFont val="ＭＳ Ｐゴシック"/>
            <family val="3"/>
            <charset val="128"/>
          </rPr>
          <t xml:space="preserve">
50年で年間12,000円として記載</t>
        </r>
      </text>
    </comment>
    <comment ref="H132" authorId="0" shapeId="0" xr:uid="{00000000-0006-0000-0000-000005000000}">
      <text>
        <r>
          <rPr>
            <b/>
            <sz val="9"/>
            <color indexed="81"/>
            <rFont val="ＭＳ Ｐゴシック"/>
            <family val="3"/>
            <charset val="128"/>
          </rPr>
          <t>Shintaro Iwasaki:</t>
        </r>
        <r>
          <rPr>
            <sz val="9"/>
            <color indexed="81"/>
            <rFont val="ＭＳ Ｐゴシック"/>
            <family val="3"/>
            <charset val="128"/>
          </rPr>
          <t xml:space="preserve">
50年で年間12,000円として記載</t>
        </r>
      </text>
    </comment>
    <comment ref="T133" authorId="0" shapeId="0" xr:uid="{00000000-0006-0000-0000-000006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4" authorId="0" shapeId="0" xr:uid="{00000000-0006-0000-0000-000007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5" authorId="0" shapeId="0" xr:uid="{00000000-0006-0000-0000-000008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6" authorId="0" shapeId="0" xr:uid="{00000000-0006-0000-0000-000009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7" authorId="0" shapeId="0" xr:uid="{00000000-0006-0000-0000-00000A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38" authorId="0" shapeId="0" xr:uid="{00000000-0006-0000-0000-00000B000000}">
      <text>
        <r>
          <rPr>
            <b/>
            <sz val="9"/>
            <color indexed="81"/>
            <rFont val="ＭＳ Ｐゴシック"/>
            <family val="3"/>
            <charset val="128"/>
          </rPr>
          <t>Shintaro Iwasaki:</t>
        </r>
        <r>
          <rPr>
            <sz val="9"/>
            <color indexed="81"/>
            <rFont val="ＭＳ Ｐゴシック"/>
            <family val="3"/>
            <charset val="128"/>
          </rPr>
          <t xml:space="preserve">
容器代含む</t>
        </r>
      </text>
    </comment>
    <comment ref="T145" authorId="0" shapeId="0" xr:uid="{00000000-0006-0000-0000-00000C000000}">
      <text>
        <r>
          <rPr>
            <b/>
            <sz val="9"/>
            <color indexed="81"/>
            <rFont val="ＭＳ Ｐゴシック"/>
            <family val="3"/>
            <charset val="128"/>
          </rPr>
          <t>Shintaro Iwasaki:</t>
        </r>
        <r>
          <rPr>
            <sz val="9"/>
            <color indexed="81"/>
            <rFont val="ＭＳ Ｐゴシック"/>
            <family val="3"/>
            <charset val="128"/>
          </rPr>
          <t xml:space="preserve">
骨壺費、パウダー加工費（2.5万円税別ずつ）含む
</t>
        </r>
      </text>
    </comment>
    <comment ref="G151" authorId="0" shapeId="0" xr:uid="{00000000-0006-0000-0000-00000D000000}">
      <text>
        <r>
          <rPr>
            <b/>
            <sz val="9"/>
            <color indexed="81"/>
            <rFont val="ＭＳ Ｐゴシック"/>
            <family val="3"/>
            <charset val="128"/>
          </rPr>
          <t>Shintaro Iwasaki:</t>
        </r>
        <r>
          <rPr>
            <sz val="9"/>
            <color indexed="81"/>
            <rFont val="ＭＳ Ｐゴシック"/>
            <family val="3"/>
            <charset val="128"/>
          </rPr>
          <t xml:space="preserve">
唯一税込み仕様
</t>
        </r>
      </text>
    </comment>
    <comment ref="H151" authorId="0" shapeId="0" xr:uid="{00000000-0006-0000-0000-00000E000000}">
      <text>
        <r>
          <rPr>
            <b/>
            <sz val="9"/>
            <color indexed="81"/>
            <rFont val="ＭＳ Ｐゴシック"/>
            <family val="3"/>
            <charset val="128"/>
          </rPr>
          <t>Shintaro Iwasaki:</t>
        </r>
        <r>
          <rPr>
            <sz val="9"/>
            <color indexed="81"/>
            <rFont val="ＭＳ Ｐゴシック"/>
            <family val="3"/>
            <charset val="128"/>
          </rPr>
          <t xml:space="preserve">
永代のケース。13年＋合祀のパターンは減算</t>
        </r>
      </text>
    </comment>
    <comment ref="K151" authorId="0" shapeId="0" xr:uid="{00000000-0006-0000-0000-00000F000000}">
      <text>
        <r>
          <rPr>
            <b/>
            <sz val="9"/>
            <color indexed="81"/>
            <rFont val="ＭＳ Ｐゴシック"/>
            <family val="3"/>
            <charset val="128"/>
          </rPr>
          <t>Shintaro Iwasaki:</t>
        </r>
        <r>
          <rPr>
            <sz val="9"/>
            <color indexed="81"/>
            <rFont val="ＭＳ Ｐゴシック"/>
            <family val="3"/>
            <charset val="128"/>
          </rPr>
          <t xml:space="preserve">
最低価格
</t>
        </r>
      </text>
    </comment>
    <comment ref="Q151" authorId="0" shapeId="0" xr:uid="{00000000-0006-0000-0000-000010000000}">
      <text>
        <r>
          <rPr>
            <b/>
            <sz val="9"/>
            <color indexed="81"/>
            <rFont val="ＭＳ Ｐゴシック"/>
            <family val="3"/>
            <charset val="128"/>
          </rPr>
          <t>Shintaro Iwasaki:</t>
        </r>
        <r>
          <rPr>
            <sz val="9"/>
            <color indexed="81"/>
            <rFont val="ＭＳ Ｐゴシック"/>
            <family val="3"/>
            <charset val="128"/>
          </rPr>
          <t xml:space="preserve">
最低価格</t>
        </r>
      </text>
    </comment>
    <comment ref="Y151" authorId="0" shapeId="0" xr:uid="{00000000-0006-0000-0000-000011000000}">
      <text>
        <r>
          <rPr>
            <b/>
            <sz val="9"/>
            <color indexed="81"/>
            <rFont val="ＭＳ Ｐゴシック"/>
            <family val="3"/>
            <charset val="128"/>
          </rPr>
          <t>Shintaro Iwasaki:</t>
        </r>
        <r>
          <rPr>
            <sz val="9"/>
            <color indexed="81"/>
            <rFont val="ＭＳ Ｐゴシック"/>
            <family val="3"/>
            <charset val="128"/>
          </rPr>
          <t xml:space="preserve">
最大8名まで使用可能
</t>
        </r>
      </text>
    </comment>
    <comment ref="G152" authorId="0" shapeId="0" xr:uid="{00000000-0006-0000-0000-000012000000}">
      <text>
        <r>
          <rPr>
            <b/>
            <sz val="9"/>
            <color indexed="81"/>
            <rFont val="ＭＳ Ｐゴシック"/>
            <family val="3"/>
            <charset val="128"/>
          </rPr>
          <t>Shintaro Iwasaki:</t>
        </r>
        <r>
          <rPr>
            <sz val="9"/>
            <color indexed="81"/>
            <rFont val="ＭＳ Ｐゴシック"/>
            <family val="3"/>
            <charset val="128"/>
          </rPr>
          <t xml:space="preserve">
唯一税込み仕様
</t>
        </r>
      </text>
    </comment>
    <comment ref="H152" authorId="0" shapeId="0" xr:uid="{00000000-0006-0000-0000-000013000000}">
      <text>
        <r>
          <rPr>
            <b/>
            <sz val="9"/>
            <color indexed="81"/>
            <rFont val="ＭＳ Ｐゴシック"/>
            <family val="3"/>
            <charset val="128"/>
          </rPr>
          <t>Shintaro Iwasaki:</t>
        </r>
        <r>
          <rPr>
            <sz val="9"/>
            <color indexed="81"/>
            <rFont val="ＭＳ Ｐゴシック"/>
            <family val="3"/>
            <charset val="128"/>
          </rPr>
          <t xml:space="preserve">
永代のケース。13年＋合祀のパターンは減算</t>
        </r>
      </text>
    </comment>
    <comment ref="Q152" authorId="0" shapeId="0" xr:uid="{00000000-0006-0000-0000-000014000000}">
      <text>
        <r>
          <rPr>
            <b/>
            <sz val="9"/>
            <color indexed="81"/>
            <rFont val="ＭＳ Ｐゴシック"/>
            <family val="3"/>
            <charset val="128"/>
          </rPr>
          <t>Shintaro Iwasaki:</t>
        </r>
        <r>
          <rPr>
            <sz val="9"/>
            <color indexed="81"/>
            <rFont val="ＭＳ Ｐゴシック"/>
            <family val="3"/>
            <charset val="128"/>
          </rPr>
          <t xml:space="preserve">
最低価格</t>
        </r>
      </text>
    </comment>
    <comment ref="G153" authorId="0" shapeId="0" xr:uid="{00000000-0006-0000-0000-000015000000}">
      <text>
        <r>
          <rPr>
            <b/>
            <sz val="9"/>
            <color indexed="81"/>
            <rFont val="ＭＳ Ｐゴシック"/>
            <family val="3"/>
            <charset val="128"/>
          </rPr>
          <t>Shintaro Iwasaki:</t>
        </r>
        <r>
          <rPr>
            <sz val="9"/>
            <color indexed="81"/>
            <rFont val="ＭＳ Ｐゴシック"/>
            <family val="3"/>
            <charset val="128"/>
          </rPr>
          <t xml:space="preserve">
唯一税込み仕様
</t>
        </r>
      </text>
    </comment>
    <comment ref="Q153" authorId="0" shapeId="0" xr:uid="{00000000-0006-0000-0000-000016000000}">
      <text>
        <r>
          <rPr>
            <b/>
            <sz val="9"/>
            <color indexed="81"/>
            <rFont val="ＭＳ Ｐゴシック"/>
            <family val="3"/>
            <charset val="128"/>
          </rPr>
          <t>Shintaro Iwasaki:</t>
        </r>
        <r>
          <rPr>
            <sz val="9"/>
            <color indexed="81"/>
            <rFont val="ＭＳ Ｐゴシック"/>
            <family val="3"/>
            <charset val="128"/>
          </rPr>
          <t xml:space="preserve">
最低価格</t>
        </r>
      </text>
    </comment>
    <comment ref="G154" authorId="0" shapeId="0" xr:uid="{00000000-0006-0000-0000-000017000000}">
      <text>
        <r>
          <rPr>
            <b/>
            <sz val="9"/>
            <color indexed="81"/>
            <rFont val="ＭＳ Ｐゴシック"/>
            <family val="3"/>
            <charset val="128"/>
          </rPr>
          <t>Shintaro Iwasaki:</t>
        </r>
        <r>
          <rPr>
            <sz val="9"/>
            <color indexed="81"/>
            <rFont val="ＭＳ Ｐゴシック"/>
            <family val="3"/>
            <charset val="128"/>
          </rPr>
          <t xml:space="preserve">
唯一税込み仕様
</t>
        </r>
      </text>
    </comment>
    <comment ref="Q154" authorId="0" shapeId="0" xr:uid="{00000000-0006-0000-0000-000018000000}">
      <text>
        <r>
          <rPr>
            <b/>
            <sz val="9"/>
            <color indexed="81"/>
            <rFont val="ＭＳ Ｐゴシック"/>
            <family val="3"/>
            <charset val="128"/>
          </rPr>
          <t>Shintaro Iwasaki:</t>
        </r>
        <r>
          <rPr>
            <sz val="9"/>
            <color indexed="81"/>
            <rFont val="ＭＳ Ｐゴシック"/>
            <family val="3"/>
            <charset val="128"/>
          </rPr>
          <t xml:space="preserve">
最低価格</t>
        </r>
      </text>
    </comment>
    <comment ref="G155" authorId="0" shapeId="0" xr:uid="{00000000-0006-0000-0000-000019000000}">
      <text>
        <r>
          <rPr>
            <b/>
            <sz val="9"/>
            <color indexed="81"/>
            <rFont val="ＭＳ Ｐゴシック"/>
            <family val="3"/>
            <charset val="128"/>
          </rPr>
          <t>Shintaro Iwasaki:</t>
        </r>
        <r>
          <rPr>
            <sz val="9"/>
            <color indexed="81"/>
            <rFont val="ＭＳ Ｐゴシック"/>
            <family val="3"/>
            <charset val="128"/>
          </rPr>
          <t xml:space="preserve">
唯一税込み仕様
</t>
        </r>
      </text>
    </comment>
    <comment ref="Q155" authorId="0" shapeId="0" xr:uid="{00000000-0006-0000-0000-00001A000000}">
      <text>
        <r>
          <rPr>
            <b/>
            <sz val="9"/>
            <color indexed="81"/>
            <rFont val="ＭＳ Ｐゴシック"/>
            <family val="3"/>
            <charset val="128"/>
          </rPr>
          <t>Shintaro Iwasaki:</t>
        </r>
        <r>
          <rPr>
            <sz val="9"/>
            <color indexed="81"/>
            <rFont val="ＭＳ Ｐゴシック"/>
            <family val="3"/>
            <charset val="128"/>
          </rPr>
          <t xml:space="preserve">
最低価格</t>
        </r>
      </text>
    </comment>
  </commentList>
</comments>
</file>

<file path=xl/sharedStrings.xml><?xml version="1.0" encoding="utf-8"?>
<sst xmlns="http://schemas.openxmlformats.org/spreadsheetml/2006/main" count="3117" uniqueCount="560">
  <si>
    <t>分岐価格</t>
    <phoneticPr fontId="5"/>
  </si>
  <si>
    <t>価格帯</t>
  </si>
  <si>
    <t>客の予算</t>
    <phoneticPr fontId="5"/>
  </si>
  <si>
    <t>アイテム数</t>
    <rPh sb="4" eb="5">
      <t>スウ</t>
    </rPh>
    <phoneticPr fontId="5"/>
  </si>
  <si>
    <t>総アイテム数</t>
    <phoneticPr fontId="4"/>
  </si>
  <si>
    <t>価格帯別最多アイテム数</t>
    <rPh sb="0" eb="3">
      <t>カカクタイ</t>
    </rPh>
    <rPh sb="3" eb="4">
      <t>ベツ</t>
    </rPh>
    <phoneticPr fontId="5"/>
  </si>
  <si>
    <t>ボリュームゾーン</t>
  </si>
  <si>
    <t>上限価格</t>
  </si>
  <si>
    <t xml:space="preserve">   </t>
    <phoneticPr fontId="5"/>
  </si>
  <si>
    <t>下限価格</t>
  </si>
  <si>
    <t>中心価格</t>
  </si>
  <si>
    <t>アイエム</t>
    <phoneticPr fontId="5"/>
  </si>
  <si>
    <t>アンカレッジ</t>
    <phoneticPr fontId="5"/>
  </si>
  <si>
    <t>C社</t>
    <rPh sb="0" eb="1">
      <t>シャ</t>
    </rPh>
    <phoneticPr fontId="4"/>
  </si>
  <si>
    <t>D社</t>
    <rPh sb="0" eb="1">
      <t>sy</t>
    </rPh>
    <phoneticPr fontId="4"/>
  </si>
  <si>
    <t>20万〜</t>
    <rPh sb="0" eb="1">
      <t>マn</t>
    </rPh>
    <phoneticPr fontId="4"/>
  </si>
  <si>
    <t>130万～</t>
    <phoneticPr fontId="4"/>
  </si>
  <si>
    <t>30～40万</t>
    <rPh sb="0" eb="1">
      <t>マn</t>
    </rPh>
    <phoneticPr fontId="4"/>
  </si>
  <si>
    <t>20～30万</t>
    <phoneticPr fontId="4"/>
  </si>
  <si>
    <t>40～50万</t>
    <phoneticPr fontId="4"/>
  </si>
  <si>
    <t>120～130万</t>
    <phoneticPr fontId="4"/>
  </si>
  <si>
    <t>110～120万</t>
    <phoneticPr fontId="4"/>
  </si>
  <si>
    <t>100～110万</t>
    <phoneticPr fontId="4"/>
  </si>
  <si>
    <t>90～100万</t>
    <phoneticPr fontId="4"/>
  </si>
  <si>
    <t>80～90万</t>
    <phoneticPr fontId="4"/>
  </si>
  <si>
    <t>70～80万</t>
    <phoneticPr fontId="4"/>
  </si>
  <si>
    <t>60～70万</t>
    <phoneticPr fontId="4"/>
  </si>
  <si>
    <t>50～60万</t>
    <phoneticPr fontId="4"/>
  </si>
  <si>
    <t>売却済数</t>
    <rPh sb="0" eb="1">
      <t>ス</t>
    </rPh>
    <phoneticPr fontId="4"/>
  </si>
  <si>
    <t>アイテム構成比</t>
    <rPh sb="0" eb="7">
      <t>コウセイヒ</t>
    </rPh>
    <phoneticPr fontId="5"/>
  </si>
  <si>
    <t>価格</t>
    <rPh sb="0" eb="2">
      <t>カカク</t>
    </rPh>
    <phoneticPr fontId="11"/>
  </si>
  <si>
    <t>アイテム数</t>
    <rPh sb="4" eb="5">
      <t>スウ</t>
    </rPh>
    <phoneticPr fontId="11"/>
  </si>
  <si>
    <t>在庫数</t>
    <rPh sb="0" eb="3">
      <t>ザイコスウ</t>
    </rPh>
    <phoneticPr fontId="11"/>
  </si>
  <si>
    <t>在庫金額</t>
    <rPh sb="0" eb="2">
      <t>ザイコ</t>
    </rPh>
    <rPh sb="2" eb="4">
      <t>キンガク</t>
    </rPh>
    <phoneticPr fontId="11"/>
  </si>
  <si>
    <t>価格帯</t>
    <rPh sb="0" eb="3">
      <t>カカクタイ</t>
    </rPh>
    <phoneticPr fontId="11"/>
  </si>
  <si>
    <t>20-30</t>
    <phoneticPr fontId="11"/>
  </si>
  <si>
    <t>30-40</t>
    <phoneticPr fontId="11"/>
  </si>
  <si>
    <t>40-50</t>
    <phoneticPr fontId="11"/>
  </si>
  <si>
    <t>50-60</t>
    <phoneticPr fontId="11"/>
  </si>
  <si>
    <t>60-70</t>
    <phoneticPr fontId="11"/>
  </si>
  <si>
    <t>70-80</t>
    <phoneticPr fontId="11"/>
  </si>
  <si>
    <t>90-100</t>
    <phoneticPr fontId="11"/>
  </si>
  <si>
    <t>100-110</t>
    <phoneticPr fontId="11"/>
  </si>
  <si>
    <t>110-120</t>
    <phoneticPr fontId="11"/>
  </si>
  <si>
    <t>120-130</t>
    <phoneticPr fontId="11"/>
  </si>
  <si>
    <t>130-140</t>
    <phoneticPr fontId="11"/>
  </si>
  <si>
    <t>基本料金</t>
    <phoneticPr fontId="4"/>
  </si>
  <si>
    <t>区画別霊数</t>
    <rPh sb="0" eb="2">
      <t>レイス</t>
    </rPh>
    <phoneticPr fontId="11"/>
  </si>
  <si>
    <t>霊園イメージ</t>
    <rPh sb="0" eb="2">
      <t>レイエン</t>
    </rPh>
    <phoneticPr fontId="4"/>
  </si>
  <si>
    <t>合祀慕コスト</t>
    <rPh sb="0" eb="2">
      <t>ゴウシ</t>
    </rPh>
    <rPh sb="2" eb="3">
      <t>ボ</t>
    </rPh>
    <phoneticPr fontId="4"/>
  </si>
  <si>
    <t>社名</t>
    <rPh sb="0" eb="2">
      <t>シャメイ</t>
    </rPh>
    <phoneticPr fontId="11"/>
  </si>
  <si>
    <t>名称</t>
    <rPh sb="0" eb="2">
      <t>メイショウ</t>
    </rPh>
    <phoneticPr fontId="4"/>
  </si>
  <si>
    <t>アイエム</t>
  </si>
  <si>
    <t>アイエム</t>
    <phoneticPr fontId="4"/>
  </si>
  <si>
    <t>建長寺</t>
    <rPh sb="0" eb="3">
      <t>ケンチョウジ</t>
    </rPh>
    <phoneticPr fontId="4"/>
  </si>
  <si>
    <t>総管理料</t>
    <rPh sb="0" eb="1">
      <t>ソウ</t>
    </rPh>
    <rPh sb="1" eb="3">
      <t>カンリ</t>
    </rPh>
    <rPh sb="3" eb="4">
      <t>リョウ</t>
    </rPh>
    <phoneticPr fontId="4"/>
  </si>
  <si>
    <t>区画面積/１区画あたり(cm)</t>
    <rPh sb="0" eb="1">
      <t>クカk</t>
    </rPh>
    <phoneticPr fontId="11"/>
  </si>
  <si>
    <t>深さ/１区画あたり(cm)</t>
    <phoneticPr fontId="11"/>
  </si>
  <si>
    <t>石サイズ(cm)</t>
    <rPh sb="0" eb="1">
      <t>イシ</t>
    </rPh>
    <phoneticPr fontId="4"/>
  </si>
  <si>
    <t>石名</t>
    <rPh sb="0" eb="1">
      <t>イシ</t>
    </rPh>
    <rPh sb="1" eb="2">
      <t>メイ</t>
    </rPh>
    <phoneticPr fontId="4"/>
  </si>
  <si>
    <t>枯淡</t>
    <rPh sb="0" eb="1">
      <t>カ</t>
    </rPh>
    <rPh sb="1" eb="2">
      <t>タン</t>
    </rPh>
    <phoneticPr fontId="4"/>
  </si>
  <si>
    <t>石総額</t>
    <rPh sb="0" eb="1">
      <t>イシ</t>
    </rPh>
    <rPh sb="1" eb="3">
      <t>ソウガク</t>
    </rPh>
    <phoneticPr fontId="4"/>
  </si>
  <si>
    <t>石牌</t>
    <rPh sb="0" eb="1">
      <t>イシ</t>
    </rPh>
    <rPh sb="1" eb="2">
      <t>パイ</t>
    </rPh>
    <phoneticPr fontId="4"/>
  </si>
  <si>
    <t>蓮華台</t>
    <rPh sb="0" eb="2">
      <t>レンゲ</t>
    </rPh>
    <rPh sb="2" eb="3">
      <t>ダイ</t>
    </rPh>
    <phoneticPr fontId="4"/>
  </si>
  <si>
    <t>花柄</t>
    <rPh sb="0" eb="2">
      <t>ハナガラ</t>
    </rPh>
    <phoneticPr fontId="4"/>
  </si>
  <si>
    <t>家紋</t>
    <rPh sb="0" eb="2">
      <t>カモン</t>
    </rPh>
    <phoneticPr fontId="4"/>
  </si>
  <si>
    <t>台座</t>
    <rPh sb="0" eb="2">
      <t>ダイザ</t>
    </rPh>
    <phoneticPr fontId="4"/>
  </si>
  <si>
    <t>満天</t>
    <rPh sb="0" eb="2">
      <t>マンテン</t>
    </rPh>
    <phoneticPr fontId="4"/>
  </si>
  <si>
    <t>備考</t>
    <rPh sb="0" eb="2">
      <t>ビコウ</t>
    </rPh>
    <phoneticPr fontId="11"/>
  </si>
  <si>
    <t>本堂・墓前</t>
    <rPh sb="0" eb="2">
      <t>ホンドウ</t>
    </rPh>
    <rPh sb="3" eb="5">
      <t>ボゼン</t>
    </rPh>
    <phoneticPr fontId="11"/>
  </si>
  <si>
    <t>墓前</t>
    <rPh sb="0" eb="2">
      <t>ボゼン</t>
    </rPh>
    <phoneticPr fontId="11"/>
  </si>
  <si>
    <t>法要総額</t>
    <rPh sb="0" eb="2">
      <t>ホウヨウ</t>
    </rPh>
    <rPh sb="2" eb="4">
      <t>ソウガク</t>
    </rPh>
    <phoneticPr fontId="11"/>
  </si>
  <si>
    <t>名入</t>
    <rPh sb="0" eb="2">
      <t>ナイ</t>
    </rPh>
    <phoneticPr fontId="4"/>
  </si>
  <si>
    <t>霊供養</t>
    <rPh sb="0" eb="1">
      <t>レイ</t>
    </rPh>
    <rPh sb="1" eb="3">
      <t>クヨウ</t>
    </rPh>
    <phoneticPr fontId="11"/>
  </si>
  <si>
    <t>お塔婆</t>
    <rPh sb="1" eb="3">
      <t>トウバ</t>
    </rPh>
    <phoneticPr fontId="11"/>
  </si>
  <si>
    <t>食事会</t>
    <rPh sb="0" eb="2">
      <t>ショクジ</t>
    </rPh>
    <rPh sb="2" eb="3">
      <t>カイ</t>
    </rPh>
    <phoneticPr fontId="11"/>
  </si>
  <si>
    <t>彼岸法要総額</t>
    <rPh sb="0" eb="2">
      <t>ヒガン</t>
    </rPh>
    <rPh sb="2" eb="4">
      <t>ホウヨウ</t>
    </rPh>
    <rPh sb="4" eb="6">
      <t>ソウガク</t>
    </rPh>
    <phoneticPr fontId="11"/>
  </si>
  <si>
    <t>お布施</t>
    <rPh sb="1" eb="3">
      <t>フセ</t>
    </rPh>
    <phoneticPr fontId="11"/>
  </si>
  <si>
    <t>納骨費用</t>
    <rPh sb="0" eb="2">
      <t>ノウコツ</t>
    </rPh>
    <rPh sb="2" eb="4">
      <t>ヒヨウ</t>
    </rPh>
    <phoneticPr fontId="11"/>
  </si>
  <si>
    <t>1霊目</t>
    <rPh sb="1" eb="2">
      <t>レイ</t>
    </rPh>
    <rPh sb="2" eb="3">
      <t>メ</t>
    </rPh>
    <phoneticPr fontId="11"/>
  </si>
  <si>
    <t>2霊目</t>
    <rPh sb="1" eb="2">
      <t>レイ</t>
    </rPh>
    <rPh sb="2" eb="3">
      <t>メ</t>
    </rPh>
    <phoneticPr fontId="11"/>
  </si>
  <si>
    <t>3霊目</t>
    <rPh sb="1" eb="2">
      <t>レイ</t>
    </rPh>
    <rPh sb="2" eb="3">
      <t>メ</t>
    </rPh>
    <phoneticPr fontId="11"/>
  </si>
  <si>
    <t>4霊目</t>
    <rPh sb="1" eb="2">
      <t>レイ</t>
    </rPh>
    <rPh sb="2" eb="3">
      <t>メ</t>
    </rPh>
    <phoneticPr fontId="11"/>
  </si>
  <si>
    <t>XXX</t>
    <phoneticPr fontId="11"/>
  </si>
  <si>
    <t>献花場コスト</t>
    <rPh sb="0" eb="2">
      <t>ケンカ</t>
    </rPh>
    <rPh sb="2" eb="3">
      <t>バ</t>
    </rPh>
    <phoneticPr fontId="11"/>
  </si>
  <si>
    <t>土台コスト</t>
    <rPh sb="0" eb="2">
      <t>ドダイ</t>
    </rPh>
    <phoneticPr fontId="11"/>
  </si>
  <si>
    <t>名入れ</t>
    <rPh sb="0" eb="2">
      <t>ナイ</t>
    </rPh>
    <phoneticPr fontId="11"/>
  </si>
  <si>
    <t>お食事会</t>
    <rPh sb="1" eb="3">
      <t>ショクジ</t>
    </rPh>
    <rPh sb="3" eb="4">
      <t>カイ</t>
    </rPh>
    <phoneticPr fontId="11"/>
  </si>
  <si>
    <t>期間</t>
    <rPh sb="0" eb="2">
      <t>キカン</t>
    </rPh>
    <phoneticPr fontId="11"/>
  </si>
  <si>
    <t>年間管理料（ご持費）</t>
    <rPh sb="0" eb="2">
      <t>ネンカン</t>
    </rPh>
    <rPh sb="2" eb="4">
      <t>カンリ</t>
    </rPh>
    <rPh sb="4" eb="5">
      <t>リョウ</t>
    </rPh>
    <rPh sb="7" eb="8">
      <t>ジ</t>
    </rPh>
    <rPh sb="8" eb="9">
      <t>ヒ</t>
    </rPh>
    <phoneticPr fontId="11"/>
  </si>
  <si>
    <t>円応寺</t>
    <rPh sb="0" eb="1">
      <t>エン</t>
    </rPh>
    <rPh sb="1" eb="2">
      <t>オウ</t>
    </rPh>
    <rPh sb="2" eb="3">
      <t>ジ</t>
    </rPh>
    <phoneticPr fontId="4"/>
  </si>
  <si>
    <t>↓年回忌法要のケース有</t>
    <rPh sb="1" eb="2">
      <t>ネン</t>
    </rPh>
    <rPh sb="2" eb="4">
      <t>カイキ</t>
    </rPh>
    <rPh sb="4" eb="6">
      <t>ホウヨウ</t>
    </rPh>
    <rPh sb="10" eb="11">
      <t>アリ</t>
    </rPh>
    <phoneticPr fontId="11"/>
  </si>
  <si>
    <t>薬王寺</t>
    <rPh sb="0" eb="1">
      <t>クスリ</t>
    </rPh>
    <rPh sb="1" eb="2">
      <t>オウ</t>
    </rPh>
    <rPh sb="2" eb="3">
      <t>ジ</t>
    </rPh>
    <phoneticPr fontId="4"/>
  </si>
  <si>
    <t>顕証寺</t>
    <rPh sb="0" eb="1">
      <t>アキラ</t>
    </rPh>
    <rPh sb="1" eb="2">
      <t>アカシ</t>
    </rPh>
    <rPh sb="2" eb="3">
      <t>テラ</t>
    </rPh>
    <phoneticPr fontId="11"/>
  </si>
  <si>
    <t>ココプランニング</t>
  </si>
  <si>
    <t>ココプランニング</t>
    <phoneticPr fontId="11"/>
  </si>
  <si>
    <t>坪単価</t>
    <rPh sb="0" eb="1">
      <t>ツボ</t>
    </rPh>
    <rPh sb="1" eb="3">
      <t>タンカ</t>
    </rPh>
    <phoneticPr fontId="11"/>
  </si>
  <si>
    <t>島根県</t>
    <rPh sb="0" eb="3">
      <t>シマネケン</t>
    </rPh>
    <phoneticPr fontId="11"/>
  </si>
  <si>
    <t>本多石材</t>
    <rPh sb="0" eb="2">
      <t>ホンタ</t>
    </rPh>
    <rPh sb="2" eb="4">
      <t>セキザイ</t>
    </rPh>
    <phoneticPr fontId="11"/>
  </si>
  <si>
    <t>アンカレッジ</t>
    <phoneticPr fontId="11"/>
  </si>
  <si>
    <t>東京</t>
    <rPh sb="0" eb="2">
      <t>トウキョウ</t>
    </rPh>
    <phoneticPr fontId="11"/>
  </si>
  <si>
    <t>↓高中低くらいの記載は大丈夫か、あるいは特徴の記載か？</t>
    <rPh sb="1" eb="2">
      <t>コウ</t>
    </rPh>
    <rPh sb="2" eb="3">
      <t>チュウ</t>
    </rPh>
    <rPh sb="3" eb="4">
      <t>テイ</t>
    </rPh>
    <rPh sb="8" eb="10">
      <t>キサイ</t>
    </rPh>
    <rPh sb="11" eb="14">
      <t>ダイジョウブ</t>
    </rPh>
    <rPh sb="20" eb="22">
      <t>トクチョウ</t>
    </rPh>
    <rPh sb="23" eb="25">
      <t>キサイ</t>
    </rPh>
    <phoneticPr fontId="11"/>
  </si>
  <si>
    <t>光玉珠</t>
    <rPh sb="0" eb="1">
      <t>ヒカリ</t>
    </rPh>
    <rPh sb="1" eb="2">
      <t>タマ</t>
    </rPh>
    <rPh sb="2" eb="3">
      <t>シュ</t>
    </rPh>
    <phoneticPr fontId="11"/>
  </si>
  <si>
    <t>小松石</t>
    <rPh sb="0" eb="2">
      <t>コマツ</t>
    </rPh>
    <rPh sb="2" eb="3">
      <t>イシ</t>
    </rPh>
    <phoneticPr fontId="11"/>
  </si>
  <si>
    <t>庵治石</t>
    <rPh sb="0" eb="1">
      <t>アン</t>
    </rPh>
    <rPh sb="1" eb="2">
      <t>チ</t>
    </rPh>
    <rPh sb="2" eb="3">
      <t>イシ</t>
    </rPh>
    <phoneticPr fontId="11"/>
  </si>
  <si>
    <t>鷲峰</t>
    <rPh sb="0" eb="2">
      <t>ワシミネ</t>
    </rPh>
    <phoneticPr fontId="11"/>
  </si>
  <si>
    <t>区画面積/１区画あたり(c㎡)</t>
    <rPh sb="0" eb="1">
      <t>クカk</t>
    </rPh>
    <phoneticPr fontId="11"/>
  </si>
  <si>
    <t>総額(寺含まず）</t>
    <rPh sb="0" eb="2">
      <t>ソウガk</t>
    </rPh>
    <rPh sb="3" eb="4">
      <t>テラ</t>
    </rPh>
    <rPh sb="4" eb="5">
      <t>フク</t>
    </rPh>
    <phoneticPr fontId="11"/>
  </si>
  <si>
    <t>総額(寺含む）</t>
    <rPh sb="0" eb="2">
      <t>ソウガk</t>
    </rPh>
    <rPh sb="3" eb="4">
      <t>テラ</t>
    </rPh>
    <rPh sb="4" eb="5">
      <t>フク</t>
    </rPh>
    <phoneticPr fontId="11"/>
  </si>
  <si>
    <t>12×12×3.14</t>
  </si>
  <si>
    <t>12×12×3.14</t>
    <phoneticPr fontId="11"/>
  </si>
  <si>
    <t>アイエム型</t>
    <rPh sb="4" eb="5">
      <t>ガタ</t>
    </rPh>
    <phoneticPr fontId="11"/>
  </si>
  <si>
    <t>建長寺</t>
    <rPh sb="0" eb="3">
      <t>ケンチョウジ</t>
    </rPh>
    <phoneticPr fontId="11"/>
  </si>
  <si>
    <t>円応寺</t>
    <rPh sb="0" eb="1">
      <t>エン</t>
    </rPh>
    <rPh sb="1" eb="2">
      <t>オウ</t>
    </rPh>
    <rPh sb="2" eb="3">
      <t>ジ</t>
    </rPh>
    <phoneticPr fontId="11"/>
  </si>
  <si>
    <t>薬王寺</t>
    <rPh sb="0" eb="1">
      <t>ヤク</t>
    </rPh>
    <rPh sb="1" eb="2">
      <t>オウ</t>
    </rPh>
    <rPh sb="2" eb="3">
      <t>ジ</t>
    </rPh>
    <phoneticPr fontId="11"/>
  </si>
  <si>
    <t>アイエム</t>
    <phoneticPr fontId="11"/>
  </si>
  <si>
    <t>XX</t>
  </si>
  <si>
    <t>XX</t>
    <phoneticPr fontId="11"/>
  </si>
  <si>
    <t>XXX</t>
  </si>
  <si>
    <t>XXX</t>
    <phoneticPr fontId="11"/>
  </si>
  <si>
    <t>XXX</t>
    <phoneticPr fontId="11"/>
  </si>
  <si>
    <t>71?</t>
  </si>
  <si>
    <t>71?</t>
    <phoneticPr fontId="11"/>
  </si>
  <si>
    <t>本小松石</t>
    <rPh sb="0" eb="1">
      <t>ホン</t>
    </rPh>
    <rPh sb="1" eb="3">
      <t>コマツ</t>
    </rPh>
    <rPh sb="3" eb="4">
      <t>イシ</t>
    </rPh>
    <phoneticPr fontId="11"/>
  </si>
  <si>
    <t>万成</t>
    <rPh sb="0" eb="1">
      <t>マン</t>
    </rPh>
    <rPh sb="1" eb="2">
      <t>セイ</t>
    </rPh>
    <phoneticPr fontId="11"/>
  </si>
  <si>
    <t>真壁</t>
    <rPh sb="0" eb="1">
      <t>シン</t>
    </rPh>
    <rPh sb="1" eb="2">
      <t>カベ</t>
    </rPh>
    <phoneticPr fontId="11"/>
  </si>
  <si>
    <t>粉骨料</t>
    <rPh sb="0" eb="2">
      <t>フンコツ</t>
    </rPh>
    <rPh sb="2" eb="3">
      <t>リョウ</t>
    </rPh>
    <phoneticPr fontId="11"/>
  </si>
  <si>
    <t>プレート</t>
    <phoneticPr fontId="11"/>
  </si>
  <si>
    <t>XX</t>
    <phoneticPr fontId="11"/>
  </si>
  <si>
    <t>15×15（12×12）</t>
    <phoneticPr fontId="11"/>
  </si>
  <si>
    <t>24×24（22×22）</t>
    <phoneticPr fontId="11"/>
  </si>
  <si>
    <t>永代</t>
    <rPh sb="0" eb="2">
      <t>エイタイ</t>
    </rPh>
    <phoneticPr fontId="11"/>
  </si>
  <si>
    <t>2,3万円程度？</t>
    <rPh sb="3" eb="5">
      <t>マンエン</t>
    </rPh>
    <rPh sb="5" eb="7">
      <t>テイド</t>
    </rPh>
    <phoneticPr fontId="11"/>
  </si>
  <si>
    <t>200,300万円程度？</t>
    <rPh sb="7" eb="9">
      <t>マンエン</t>
    </rPh>
    <rPh sb="9" eb="11">
      <t>テイド</t>
    </rPh>
    <phoneticPr fontId="11"/>
  </si>
  <si>
    <t>ガーデニング型</t>
    <rPh sb="6" eb="7">
      <t>ガタ</t>
    </rPh>
    <phoneticPr fontId="11"/>
  </si>
  <si>
    <t>ココプランニング</t>
    <phoneticPr fontId="11"/>
  </si>
  <si>
    <t>顕証寺</t>
    <rPh sb="0" eb="1">
      <t>アキラ</t>
    </rPh>
    <rPh sb="1" eb="2">
      <t>アカシ</t>
    </rPh>
    <rPh sb="2" eb="3">
      <t>ジ</t>
    </rPh>
    <phoneticPr fontId="11"/>
  </si>
  <si>
    <t>32,400~54000(永代)</t>
    <rPh sb="13" eb="15">
      <t>エイタイ</t>
    </rPh>
    <phoneticPr fontId="11"/>
  </si>
  <si>
    <t>アイテム数・在庫数は全区画総数。販売後半年。駅前3分。七里ガ浜ブランド。</t>
    <rPh sb="16" eb="18">
      <t>ハンバイ</t>
    </rPh>
    <rPh sb="18" eb="19">
      <t>ゴ</t>
    </rPh>
    <rPh sb="19" eb="21">
      <t>ハントシ</t>
    </rPh>
    <rPh sb="22" eb="24">
      <t>エキマエ</t>
    </rPh>
    <rPh sb="25" eb="26">
      <t>フン</t>
    </rPh>
    <rPh sb="27" eb="29">
      <t>シチリ</t>
    </rPh>
    <rPh sb="30" eb="31">
      <t>ハマ</t>
    </rPh>
    <phoneticPr fontId="11"/>
  </si>
  <si>
    <t>年間管理料は一括。枯淡は建長寺の3倍も高い。石代は相当優位につけている。納骨法要は年回忌法要と同じ場合は＋１０，０００円。納骨費用は「安心倶楽部会員」なら1割引き。販売開始後1.5年。アクセスは徒歩20分以上で勾配が相当にきつい。</t>
    <rPh sb="0" eb="2">
      <t>ネンカン</t>
    </rPh>
    <rPh sb="2" eb="4">
      <t>カンリ</t>
    </rPh>
    <rPh sb="4" eb="5">
      <t>リョウ</t>
    </rPh>
    <rPh sb="6" eb="8">
      <t>イッカツ</t>
    </rPh>
    <rPh sb="9" eb="10">
      <t>カ</t>
    </rPh>
    <rPh sb="12" eb="15">
      <t>ケンチョウジ</t>
    </rPh>
    <rPh sb="17" eb="18">
      <t>バイ</t>
    </rPh>
    <rPh sb="19" eb="20">
      <t>タカ</t>
    </rPh>
    <rPh sb="22" eb="23">
      <t>イシ</t>
    </rPh>
    <rPh sb="23" eb="24">
      <t>ダイ</t>
    </rPh>
    <rPh sb="25" eb="27">
      <t>ソウトウ</t>
    </rPh>
    <rPh sb="27" eb="29">
      <t>ユウイ</t>
    </rPh>
    <rPh sb="36" eb="38">
      <t>ノウコツ</t>
    </rPh>
    <rPh sb="38" eb="40">
      <t>ホウヨウ</t>
    </rPh>
    <rPh sb="41" eb="42">
      <t>ネン</t>
    </rPh>
    <rPh sb="42" eb="44">
      <t>カイキ</t>
    </rPh>
    <rPh sb="44" eb="46">
      <t>ホウヨウ</t>
    </rPh>
    <rPh sb="47" eb="48">
      <t>オナ</t>
    </rPh>
    <rPh sb="49" eb="51">
      <t>バアイ</t>
    </rPh>
    <rPh sb="59" eb="60">
      <t>エン</t>
    </rPh>
    <rPh sb="61" eb="63">
      <t>ノウコツ</t>
    </rPh>
    <rPh sb="63" eb="65">
      <t>ヒヨウ</t>
    </rPh>
    <rPh sb="67" eb="69">
      <t>アンシン</t>
    </rPh>
    <rPh sb="69" eb="72">
      <t>クラブ</t>
    </rPh>
    <rPh sb="72" eb="74">
      <t>カイイン</t>
    </rPh>
    <rPh sb="78" eb="80">
      <t>ワリビ</t>
    </rPh>
    <rPh sb="82" eb="84">
      <t>ハンバイ</t>
    </rPh>
    <rPh sb="84" eb="87">
      <t>カイシゴ</t>
    </rPh>
    <rPh sb="90" eb="91">
      <t>ネン</t>
    </rPh>
    <rPh sb="97" eb="99">
      <t>トホ</t>
    </rPh>
    <rPh sb="101" eb="104">
      <t>フンイジョウ</t>
    </rPh>
    <rPh sb="105" eb="107">
      <t>コウバイ</t>
    </rPh>
    <rPh sb="108" eb="110">
      <t>ソウトウ</t>
    </rPh>
    <phoneticPr fontId="11"/>
  </si>
  <si>
    <t>不明個所多い。年間管理料は生前時の場合は別途45,000円かかる。アイテム数・在庫数は想定。アクセスは北鎌倉駅から15分、建長寺ブランドの陰にいるため売りにくそう。</t>
    <rPh sb="0" eb="2">
      <t>フメイ</t>
    </rPh>
    <rPh sb="2" eb="4">
      <t>カショ</t>
    </rPh>
    <rPh sb="4" eb="5">
      <t>オオ</t>
    </rPh>
    <rPh sb="7" eb="9">
      <t>ネンカン</t>
    </rPh>
    <rPh sb="9" eb="11">
      <t>カンリ</t>
    </rPh>
    <rPh sb="11" eb="12">
      <t>リョウ</t>
    </rPh>
    <rPh sb="13" eb="15">
      <t>セイゼン</t>
    </rPh>
    <rPh sb="15" eb="16">
      <t>ジ</t>
    </rPh>
    <rPh sb="17" eb="19">
      <t>バアイ</t>
    </rPh>
    <rPh sb="20" eb="22">
      <t>ベット</t>
    </rPh>
    <rPh sb="28" eb="29">
      <t>エン</t>
    </rPh>
    <rPh sb="37" eb="38">
      <t>スウ</t>
    </rPh>
    <rPh sb="39" eb="42">
      <t>ザイコスウ</t>
    </rPh>
    <rPh sb="43" eb="45">
      <t>ソウテイ</t>
    </rPh>
    <rPh sb="51" eb="55">
      <t>キタカマクラエキ</t>
    </rPh>
    <rPh sb="59" eb="60">
      <t>フン</t>
    </rPh>
    <rPh sb="61" eb="64">
      <t>ケンチョウジ</t>
    </rPh>
    <rPh sb="69" eb="70">
      <t>カゲ</t>
    </rPh>
    <rPh sb="75" eb="76">
      <t>ウ</t>
    </rPh>
    <phoneticPr fontId="11"/>
  </si>
  <si>
    <t>アイテム数・在庫数は全区画総数。契約後の石碑購入時は30,000円別途、総管理料は一括で20%OFF。北鎌倉駅から徒歩15分、建長寺ブランドが強い。</t>
    <rPh sb="4" eb="5">
      <t>スウ</t>
    </rPh>
    <rPh sb="6" eb="9">
      <t>ザイコスウ</t>
    </rPh>
    <rPh sb="10" eb="11">
      <t>ゼン</t>
    </rPh>
    <rPh sb="11" eb="13">
      <t>クカク</t>
    </rPh>
    <rPh sb="13" eb="15">
      <t>ソウスウ</t>
    </rPh>
    <rPh sb="16" eb="18">
      <t>ケイヤク</t>
    </rPh>
    <rPh sb="18" eb="19">
      <t>ゴ</t>
    </rPh>
    <rPh sb="20" eb="22">
      <t>セキヒ</t>
    </rPh>
    <rPh sb="22" eb="25">
      <t>コウニュウジ</t>
    </rPh>
    <rPh sb="28" eb="33">
      <t>０００エン</t>
    </rPh>
    <rPh sb="33" eb="35">
      <t>ベット</t>
    </rPh>
    <rPh sb="36" eb="37">
      <t>ソウ</t>
    </rPh>
    <rPh sb="37" eb="39">
      <t>カンリ</t>
    </rPh>
    <rPh sb="39" eb="40">
      <t>リョウ</t>
    </rPh>
    <rPh sb="41" eb="43">
      <t>イッカツ</t>
    </rPh>
    <rPh sb="51" eb="55">
      <t>キタカマクラエキ</t>
    </rPh>
    <rPh sb="57" eb="59">
      <t>トホ</t>
    </rPh>
    <rPh sb="61" eb="62">
      <t>フン</t>
    </rPh>
    <rPh sb="63" eb="66">
      <t>ケンチョウジ</t>
    </rPh>
    <rPh sb="71" eb="72">
      <t>ツヨ</t>
    </rPh>
    <phoneticPr fontId="11"/>
  </si>
  <si>
    <t>正満寺</t>
    <rPh sb="0" eb="1">
      <t>ショウ</t>
    </rPh>
    <rPh sb="1" eb="2">
      <t>マン</t>
    </rPh>
    <rPh sb="2" eb="3">
      <t>テラ</t>
    </rPh>
    <phoneticPr fontId="11"/>
  </si>
  <si>
    <t>-</t>
  </si>
  <si>
    <t>-</t>
    <phoneticPr fontId="11"/>
  </si>
  <si>
    <t>XX</t>
    <phoneticPr fontId="11"/>
  </si>
  <si>
    <t>100,200万円程度？</t>
    <rPh sb="7" eb="9">
      <t>マンエン</t>
    </rPh>
    <rPh sb="9" eb="11">
      <t>テイド</t>
    </rPh>
    <phoneticPr fontId="11"/>
  </si>
  <si>
    <t>アイテム数・在庫数は全区画総数。販売後半年。駅前15分以上、入り組んでおり、かなり厳しい坂がある。よく売ったように思う</t>
    <rPh sb="16" eb="18">
      <t>ハンバイ</t>
    </rPh>
    <rPh sb="18" eb="19">
      <t>ゴ</t>
    </rPh>
    <rPh sb="19" eb="21">
      <t>ハントシ</t>
    </rPh>
    <rPh sb="22" eb="24">
      <t>エキマエ</t>
    </rPh>
    <rPh sb="26" eb="27">
      <t>フン</t>
    </rPh>
    <rPh sb="27" eb="29">
      <t>イジョウ</t>
    </rPh>
    <rPh sb="30" eb="31">
      <t>イ</t>
    </rPh>
    <rPh sb="32" eb="33">
      <t>ク</t>
    </rPh>
    <rPh sb="41" eb="42">
      <t>キビ</t>
    </rPh>
    <rPh sb="44" eb="45">
      <t>サカ</t>
    </rPh>
    <rPh sb="51" eb="52">
      <t>ウ</t>
    </rPh>
    <rPh sb="57" eb="58">
      <t>オモ</t>
    </rPh>
    <phoneticPr fontId="11"/>
  </si>
  <si>
    <t>永年</t>
    <rPh sb="0" eb="2">
      <t>エイネン</t>
    </rPh>
    <phoneticPr fontId="11"/>
  </si>
  <si>
    <t>正満寺１</t>
    <rPh sb="0" eb="1">
      <t>ショウ</t>
    </rPh>
    <rPh sb="1" eb="2">
      <t>マン</t>
    </rPh>
    <rPh sb="2" eb="3">
      <t>テラ</t>
    </rPh>
    <phoneticPr fontId="11"/>
  </si>
  <si>
    <t>ココプランニングの定義では七里ガ浜スタイルが樹木葬とのことだが、アイエムやアンカレッジ版も踏まえてその他の商品も樹木葬と定義し記載</t>
    <rPh sb="9" eb="11">
      <t>テイギ</t>
    </rPh>
    <rPh sb="13" eb="15">
      <t>シチリ</t>
    </rPh>
    <rPh sb="16" eb="17">
      <t>ハマ</t>
    </rPh>
    <rPh sb="22" eb="24">
      <t>ジュモク</t>
    </rPh>
    <rPh sb="24" eb="25">
      <t>ソウ</t>
    </rPh>
    <rPh sb="43" eb="44">
      <t>バン</t>
    </rPh>
    <rPh sb="45" eb="46">
      <t>フ</t>
    </rPh>
    <rPh sb="51" eb="52">
      <t>ホカ</t>
    </rPh>
    <rPh sb="53" eb="55">
      <t>ショウヒン</t>
    </rPh>
    <rPh sb="56" eb="58">
      <t>ジュモク</t>
    </rPh>
    <rPh sb="58" eb="59">
      <t>ソウ</t>
    </rPh>
    <rPh sb="60" eb="62">
      <t>テイギ</t>
    </rPh>
    <rPh sb="63" eb="65">
      <t>キサイ</t>
    </rPh>
    <phoneticPr fontId="11"/>
  </si>
  <si>
    <t>2~4</t>
    <phoneticPr fontId="11"/>
  </si>
  <si>
    <t>XXX</t>
    <phoneticPr fontId="11"/>
  </si>
  <si>
    <t>20×20</t>
    <phoneticPr fontId="11"/>
  </si>
  <si>
    <t>石代に含む</t>
    <rPh sb="0" eb="1">
      <t>イシ</t>
    </rPh>
    <rPh sb="1" eb="2">
      <t>ダイ</t>
    </rPh>
    <rPh sb="3" eb="4">
      <t>フク</t>
    </rPh>
    <phoneticPr fontId="11"/>
  </si>
  <si>
    <t>80-90</t>
    <phoneticPr fontId="11"/>
  </si>
  <si>
    <t>140-150</t>
    <phoneticPr fontId="11"/>
  </si>
  <si>
    <t>150-160</t>
    <phoneticPr fontId="11"/>
  </si>
  <si>
    <t>160-170</t>
    <phoneticPr fontId="11"/>
  </si>
  <si>
    <t>170-180</t>
    <phoneticPr fontId="11"/>
  </si>
  <si>
    <t>180-190</t>
    <phoneticPr fontId="11"/>
  </si>
  <si>
    <t>190-200</t>
    <phoneticPr fontId="11"/>
  </si>
  <si>
    <t>200-210</t>
    <phoneticPr fontId="11"/>
  </si>
  <si>
    <t>210-220</t>
    <phoneticPr fontId="11"/>
  </si>
  <si>
    <t>220-230</t>
    <phoneticPr fontId="11"/>
  </si>
  <si>
    <t>230-240</t>
    <phoneticPr fontId="11"/>
  </si>
  <si>
    <t>240-250</t>
    <phoneticPr fontId="11"/>
  </si>
  <si>
    <t>250-260</t>
    <phoneticPr fontId="11"/>
  </si>
  <si>
    <t>正満寺２</t>
    <rPh sb="0" eb="1">
      <t>ショウ</t>
    </rPh>
    <rPh sb="1" eb="2">
      <t>マン</t>
    </rPh>
    <rPh sb="2" eb="3">
      <t>テラ</t>
    </rPh>
    <phoneticPr fontId="11"/>
  </si>
  <si>
    <t>勧行寺</t>
    <rPh sb="0" eb="1">
      <t>ススム</t>
    </rPh>
    <rPh sb="1" eb="2">
      <t>ギョウ</t>
    </rPh>
    <rPh sb="2" eb="3">
      <t>ジ</t>
    </rPh>
    <phoneticPr fontId="11"/>
  </si>
  <si>
    <t>永代供養慕普及会</t>
    <rPh sb="0" eb="2">
      <t>エイタイ</t>
    </rPh>
    <rPh sb="2" eb="4">
      <t>クヨウ</t>
    </rPh>
    <rPh sb="4" eb="5">
      <t>ボ</t>
    </rPh>
    <rPh sb="5" eb="7">
      <t>フキュウ</t>
    </rPh>
    <rPh sb="7" eb="8">
      <t>カイ</t>
    </rPh>
    <phoneticPr fontId="11"/>
  </si>
  <si>
    <t>-</t>
    <phoneticPr fontId="11"/>
  </si>
  <si>
    <t>-</t>
    <phoneticPr fontId="11"/>
  </si>
  <si>
    <t>合祀慕型。アイエムのパクリ？源流？非常によく似ている。トウモロコシの納骨壺で数年後に溶ける。場所は駅から3分ほどで近い。販売期間は1.5年相当長い。</t>
    <rPh sb="0" eb="2">
      <t>ゴウシ</t>
    </rPh>
    <rPh sb="2" eb="3">
      <t>ボ</t>
    </rPh>
    <rPh sb="3" eb="4">
      <t>ガタ</t>
    </rPh>
    <rPh sb="14" eb="16">
      <t>ゲンリュウ</t>
    </rPh>
    <rPh sb="17" eb="19">
      <t>ヒジョウ</t>
    </rPh>
    <rPh sb="22" eb="23">
      <t>ニ</t>
    </rPh>
    <rPh sb="34" eb="35">
      <t>オサメ</t>
    </rPh>
    <rPh sb="35" eb="37">
      <t>コツツボ</t>
    </rPh>
    <rPh sb="38" eb="41">
      <t>スウネンゴ</t>
    </rPh>
    <rPh sb="42" eb="43">
      <t>ト</t>
    </rPh>
    <rPh sb="46" eb="48">
      <t>バショ</t>
    </rPh>
    <rPh sb="49" eb="50">
      <t>エキ</t>
    </rPh>
    <rPh sb="53" eb="54">
      <t>フン</t>
    </rPh>
    <rPh sb="57" eb="58">
      <t>チカ</t>
    </rPh>
    <rPh sb="60" eb="62">
      <t>ハンバイ</t>
    </rPh>
    <rPh sb="62" eb="64">
      <t>キカン</t>
    </rPh>
    <rPh sb="68" eb="69">
      <t>ネン</t>
    </rPh>
    <rPh sb="69" eb="71">
      <t>ソウトウ</t>
    </rPh>
    <rPh sb="71" eb="72">
      <t>ナガ</t>
    </rPh>
    <phoneticPr fontId="11"/>
  </si>
  <si>
    <t>追加彫刻費32400円から。ステンレス製で腐食を防ぐ。場所は駅近。ネームブランド良好。</t>
    <rPh sb="0" eb="2">
      <t>ツイカ</t>
    </rPh>
    <rPh sb="2" eb="4">
      <t>チョウコク</t>
    </rPh>
    <rPh sb="4" eb="5">
      <t>ヒ</t>
    </rPh>
    <rPh sb="10" eb="11">
      <t>エン</t>
    </rPh>
    <rPh sb="19" eb="20">
      <t>セイ</t>
    </rPh>
    <rPh sb="21" eb="23">
      <t>フショク</t>
    </rPh>
    <rPh sb="24" eb="25">
      <t>フセ</t>
    </rPh>
    <rPh sb="27" eb="29">
      <t>バショ</t>
    </rPh>
    <rPh sb="30" eb="31">
      <t>エキ</t>
    </rPh>
    <rPh sb="31" eb="32">
      <t>チカ</t>
    </rPh>
    <rPh sb="40" eb="42">
      <t>リョウコウ</t>
    </rPh>
    <phoneticPr fontId="11"/>
  </si>
  <si>
    <t>粉はパウダー状。以下の同じ。</t>
    <rPh sb="8" eb="10">
      <t>イカ</t>
    </rPh>
    <rPh sb="11" eb="12">
      <t>オナ</t>
    </rPh>
    <phoneticPr fontId="11"/>
  </si>
  <si>
    <t>40×25</t>
    <phoneticPr fontId="11"/>
  </si>
  <si>
    <t>50×30（40×25）</t>
    <phoneticPr fontId="11"/>
  </si>
  <si>
    <t>1~2</t>
    <phoneticPr fontId="11"/>
  </si>
  <si>
    <t>20×20（15×15）</t>
    <phoneticPr fontId="11"/>
  </si>
  <si>
    <t>高輪庭苑</t>
    <rPh sb="0" eb="2">
      <t>タカナワ</t>
    </rPh>
    <rPh sb="2" eb="4">
      <t>テイエン</t>
    </rPh>
    <phoneticPr fontId="11"/>
  </si>
  <si>
    <t>1~2</t>
    <phoneticPr fontId="11"/>
  </si>
  <si>
    <t>10×10（3×5）</t>
    <phoneticPr fontId="11"/>
  </si>
  <si>
    <t>3×5</t>
    <phoneticPr fontId="11"/>
  </si>
  <si>
    <t>骨壺での収蔵</t>
    <rPh sb="0" eb="2">
      <t>コツツボ</t>
    </rPh>
    <rPh sb="4" eb="6">
      <t>シュウゾウ</t>
    </rPh>
    <phoneticPr fontId="11"/>
  </si>
  <si>
    <t>パウダー状にして桐箱での収蔵</t>
    <rPh sb="4" eb="5">
      <t>ジョウ</t>
    </rPh>
    <rPh sb="8" eb="9">
      <t>キリ</t>
    </rPh>
    <rPh sb="9" eb="10">
      <t>ハコ</t>
    </rPh>
    <rPh sb="12" eb="14">
      <t>シュウゾウ</t>
    </rPh>
    <phoneticPr fontId="11"/>
  </si>
  <si>
    <t>鎌倉</t>
    <rPh sb="0" eb="2">
      <t>カマクラ</t>
    </rPh>
    <phoneticPr fontId="4"/>
  </si>
  <si>
    <t>地域</t>
    <rPh sb="0" eb="2">
      <t>チイキ</t>
    </rPh>
    <phoneticPr fontId="11"/>
  </si>
  <si>
    <t>天倫寺</t>
    <rPh sb="0" eb="1">
      <t>テン</t>
    </rPh>
    <rPh sb="1" eb="2">
      <t>リン</t>
    </rPh>
    <rPh sb="2" eb="3">
      <t>テラ</t>
    </rPh>
    <phoneticPr fontId="11"/>
  </si>
  <si>
    <t>水晶仕上げ</t>
    <rPh sb="0" eb="2">
      <t>スイショウ</t>
    </rPh>
    <rPh sb="2" eb="4">
      <t>シア</t>
    </rPh>
    <phoneticPr fontId="11"/>
  </si>
  <si>
    <t>一括合祀</t>
    <rPh sb="0" eb="2">
      <t>イッカツ</t>
    </rPh>
    <rPh sb="2" eb="4">
      <t>ゴウシ</t>
    </rPh>
    <phoneticPr fontId="11"/>
  </si>
  <si>
    <t>線香立て</t>
    <rPh sb="0" eb="2">
      <t>センコウ</t>
    </rPh>
    <rPh sb="2" eb="3">
      <t>タ</t>
    </rPh>
    <phoneticPr fontId="11"/>
  </si>
  <si>
    <t>特殊彫刻</t>
    <rPh sb="0" eb="2">
      <t>トクシュ</t>
    </rPh>
    <rPh sb="2" eb="4">
      <t>チョウコク</t>
    </rPh>
    <phoneticPr fontId="11"/>
  </si>
  <si>
    <t>60×30（25×50）</t>
    <phoneticPr fontId="11"/>
  </si>
  <si>
    <t>25×50</t>
    <phoneticPr fontId="11"/>
  </si>
  <si>
    <t>30×30（25×25）</t>
    <phoneticPr fontId="11"/>
  </si>
  <si>
    <t>25×25</t>
    <phoneticPr fontId="11"/>
  </si>
  <si>
    <t>25×25（20×20)</t>
    <phoneticPr fontId="11"/>
  </si>
  <si>
    <t>単価表</t>
    <rPh sb="0" eb="2">
      <t>タンカ</t>
    </rPh>
    <rPh sb="2" eb="3">
      <t>ヒョウ</t>
    </rPh>
    <phoneticPr fontId="11"/>
  </si>
  <si>
    <t>No.</t>
    <phoneticPr fontId="4"/>
  </si>
  <si>
    <t>基本価格</t>
    <rPh sb="0" eb="2">
      <t>キホン</t>
    </rPh>
    <rPh sb="2" eb="4">
      <t>カカク</t>
    </rPh>
    <phoneticPr fontId="4"/>
  </si>
  <si>
    <t>概要</t>
    <rPh sb="0" eb="2">
      <t>ガイヨウ</t>
    </rPh>
    <phoneticPr fontId="4"/>
  </si>
  <si>
    <t>年間管理料</t>
    <rPh sb="0" eb="2">
      <t>ネンカン</t>
    </rPh>
    <rPh sb="2" eb="4">
      <t>カンリ</t>
    </rPh>
    <rPh sb="4" eb="5">
      <t>リョウ</t>
    </rPh>
    <phoneticPr fontId="4"/>
  </si>
  <si>
    <t>年間護持費</t>
    <rPh sb="0" eb="2">
      <t>ネンカン</t>
    </rPh>
    <rPh sb="2" eb="4">
      <t>ゴジ</t>
    </rPh>
    <rPh sb="4" eb="5">
      <t>ヒ</t>
    </rPh>
    <phoneticPr fontId="4"/>
  </si>
  <si>
    <t>大項目</t>
    <rPh sb="0" eb="1">
      <t>ダイ</t>
    </rPh>
    <rPh sb="1" eb="3">
      <t>コウモク</t>
    </rPh>
    <phoneticPr fontId="4"/>
  </si>
  <si>
    <t>小項目</t>
    <rPh sb="0" eb="3">
      <t>ショウコウモク</t>
    </rPh>
    <phoneticPr fontId="4"/>
  </si>
  <si>
    <t>管理料</t>
    <rPh sb="0" eb="2">
      <t>カンリ</t>
    </rPh>
    <rPh sb="2" eb="3">
      <t>リョウ</t>
    </rPh>
    <phoneticPr fontId="4"/>
  </si>
  <si>
    <t>石材</t>
    <rPh sb="0" eb="2">
      <t>セキザイ</t>
    </rPh>
    <phoneticPr fontId="4"/>
  </si>
  <si>
    <t>プレート</t>
    <phoneticPr fontId="4"/>
  </si>
  <si>
    <t>石碑</t>
    <rPh sb="0" eb="2">
      <t>セキヒ</t>
    </rPh>
    <phoneticPr fontId="4"/>
  </si>
  <si>
    <t>線香立て</t>
    <rPh sb="0" eb="2">
      <t>センコウ</t>
    </rPh>
    <rPh sb="2" eb="3">
      <t>タ</t>
    </rPh>
    <phoneticPr fontId="4"/>
  </si>
  <si>
    <t>特殊加工</t>
    <rPh sb="0" eb="2">
      <t>トクシュ</t>
    </rPh>
    <rPh sb="2" eb="4">
      <t>カコウ</t>
    </rPh>
    <phoneticPr fontId="4"/>
  </si>
  <si>
    <t>加工</t>
    <rPh sb="0" eb="2">
      <t>カコウ</t>
    </rPh>
    <phoneticPr fontId="4"/>
  </si>
  <si>
    <t>名入れ</t>
    <rPh sb="0" eb="2">
      <t>ナイ</t>
    </rPh>
    <phoneticPr fontId="4"/>
  </si>
  <si>
    <t>納骨</t>
    <rPh sb="0" eb="2">
      <t>ノウコツ</t>
    </rPh>
    <phoneticPr fontId="4"/>
  </si>
  <si>
    <t>粉骨ケース</t>
    <rPh sb="0" eb="2">
      <t>フンコツ</t>
    </rPh>
    <phoneticPr fontId="4"/>
  </si>
  <si>
    <t>水晶仕上げ</t>
    <rPh sb="0" eb="2">
      <t>スイショウ</t>
    </rPh>
    <rPh sb="2" eb="4">
      <t>シア</t>
    </rPh>
    <phoneticPr fontId="4"/>
  </si>
  <si>
    <t>納骨作業</t>
    <rPh sb="0" eb="2">
      <t>ノウコツ</t>
    </rPh>
    <rPh sb="2" eb="4">
      <t>サギョウ</t>
    </rPh>
    <phoneticPr fontId="4"/>
  </si>
  <si>
    <t>粉骨代</t>
    <rPh sb="0" eb="2">
      <t>フンコツ</t>
    </rPh>
    <rPh sb="2" eb="3">
      <t>ダイ</t>
    </rPh>
    <phoneticPr fontId="4"/>
  </si>
  <si>
    <t>本堂・墓前</t>
    <rPh sb="0" eb="2">
      <t>ホンドウ</t>
    </rPh>
    <rPh sb="3" eb="5">
      <t>ボゼン</t>
    </rPh>
    <phoneticPr fontId="4"/>
  </si>
  <si>
    <t>霊供養</t>
    <rPh sb="0" eb="1">
      <t>レイ</t>
    </rPh>
    <rPh sb="1" eb="3">
      <t>クヨウ</t>
    </rPh>
    <phoneticPr fontId="4"/>
  </si>
  <si>
    <t>お塔婆</t>
    <rPh sb="1" eb="3">
      <t>トウバ</t>
    </rPh>
    <phoneticPr fontId="4"/>
  </si>
  <si>
    <t>食事</t>
    <rPh sb="0" eb="2">
      <t>ショクジ</t>
    </rPh>
    <phoneticPr fontId="4"/>
  </si>
  <si>
    <t>お彼岸（年回忌）法要</t>
    <rPh sb="1" eb="3">
      <t>ヒガン</t>
    </rPh>
    <rPh sb="4" eb="5">
      <t>ネン</t>
    </rPh>
    <rPh sb="5" eb="7">
      <t>カイキ</t>
    </rPh>
    <rPh sb="8" eb="10">
      <t>ホウヨウ</t>
    </rPh>
    <phoneticPr fontId="4"/>
  </si>
  <si>
    <t>納骨法要</t>
    <rPh sb="0" eb="2">
      <t>ノウコツ</t>
    </rPh>
    <rPh sb="2" eb="4">
      <t>ホウヨウ</t>
    </rPh>
    <phoneticPr fontId="4"/>
  </si>
  <si>
    <t>お布施</t>
    <rPh sb="1" eb="3">
      <t>フセ</t>
    </rPh>
    <phoneticPr fontId="4"/>
  </si>
  <si>
    <t>一括合祀</t>
    <rPh sb="0" eb="2">
      <t>イッカツ</t>
    </rPh>
    <rPh sb="2" eb="4">
      <t>ゴウシ</t>
    </rPh>
    <phoneticPr fontId="4"/>
  </si>
  <si>
    <t>中項目</t>
    <rPh sb="0" eb="1">
      <t>チュウ</t>
    </rPh>
    <rPh sb="1" eb="3">
      <t>コウモク</t>
    </rPh>
    <phoneticPr fontId="4"/>
  </si>
  <si>
    <t>コスト決定分析</t>
    <rPh sb="3" eb="5">
      <t>ケッテイ</t>
    </rPh>
    <rPh sb="5" eb="7">
      <t>ブンセキ</t>
    </rPh>
    <phoneticPr fontId="4"/>
  </si>
  <si>
    <t>決定要因</t>
    <rPh sb="0" eb="2">
      <t>ケッテイ</t>
    </rPh>
    <rPh sb="2" eb="4">
      <t>ヨウイン</t>
    </rPh>
    <phoneticPr fontId="4"/>
  </si>
  <si>
    <t>住職の手入れ有無及びその程度</t>
    <rPh sb="0" eb="2">
      <t>ジュウショク</t>
    </rPh>
    <rPh sb="3" eb="5">
      <t>テイ</t>
    </rPh>
    <rPh sb="6" eb="8">
      <t>ウム</t>
    </rPh>
    <rPh sb="8" eb="9">
      <t>オヨ</t>
    </rPh>
    <rPh sb="12" eb="14">
      <t>テイド</t>
    </rPh>
    <phoneticPr fontId="4"/>
  </si>
  <si>
    <t>生前の用地押さえ、その期間</t>
    <rPh sb="0" eb="2">
      <t>セイゼン</t>
    </rPh>
    <rPh sb="3" eb="5">
      <t>ヨウチ</t>
    </rPh>
    <rPh sb="5" eb="6">
      <t>オ</t>
    </rPh>
    <rPh sb="11" eb="13">
      <t>キカン</t>
    </rPh>
    <phoneticPr fontId="4"/>
  </si>
  <si>
    <t>産地、希少性、色合い、強度等の石の性質</t>
    <rPh sb="0" eb="2">
      <t>サンチ</t>
    </rPh>
    <rPh sb="3" eb="6">
      <t>キショウセイ</t>
    </rPh>
    <rPh sb="7" eb="9">
      <t>イロア</t>
    </rPh>
    <rPh sb="11" eb="13">
      <t>キョウド</t>
    </rPh>
    <rPh sb="13" eb="14">
      <t>トウ</t>
    </rPh>
    <rPh sb="15" eb="16">
      <t>イシ</t>
    </rPh>
    <rPh sb="17" eb="19">
      <t>セイシツ</t>
    </rPh>
    <phoneticPr fontId="4"/>
  </si>
  <si>
    <t>産地、希少性、色合い、強度等の石の性質</t>
    <phoneticPr fontId="4"/>
  </si>
  <si>
    <t>産地、希少性、色合い、強度等の石の性質及び使用有無</t>
    <rPh sb="19" eb="20">
      <t>オヨ</t>
    </rPh>
    <rPh sb="21" eb="23">
      <t>シヨウ</t>
    </rPh>
    <rPh sb="23" eb="25">
      <t>ウム</t>
    </rPh>
    <phoneticPr fontId="4"/>
  </si>
  <si>
    <t>加工手間</t>
    <rPh sb="0" eb="2">
      <t>カコウ</t>
    </rPh>
    <rPh sb="2" eb="4">
      <t>テマ</t>
    </rPh>
    <phoneticPr fontId="4"/>
  </si>
  <si>
    <t>加工手間、行数（名前、生年月日、その他文字）</t>
    <rPh sb="0" eb="2">
      <t>カコウ</t>
    </rPh>
    <rPh sb="2" eb="4">
      <t>テマ</t>
    </rPh>
    <rPh sb="5" eb="7">
      <t>ギョウスウ</t>
    </rPh>
    <rPh sb="8" eb="10">
      <t>ナマエ</t>
    </rPh>
    <rPh sb="11" eb="13">
      <t>セイネン</t>
    </rPh>
    <rPh sb="13" eb="15">
      <t>ガッピ</t>
    </rPh>
    <rPh sb="18" eb="19">
      <t>タ</t>
    </rPh>
    <rPh sb="19" eb="21">
      <t>モンジ</t>
    </rPh>
    <phoneticPr fontId="4"/>
  </si>
  <si>
    <t>骨を砕く作業、パウダー加工等の特殊加工</t>
    <rPh sb="0" eb="1">
      <t>ホネ</t>
    </rPh>
    <rPh sb="2" eb="3">
      <t>クダ</t>
    </rPh>
    <rPh sb="4" eb="6">
      <t>サギョウ</t>
    </rPh>
    <rPh sb="11" eb="13">
      <t>カコウ</t>
    </rPh>
    <rPh sb="13" eb="14">
      <t>トウ</t>
    </rPh>
    <rPh sb="15" eb="17">
      <t>トクシュ</t>
    </rPh>
    <rPh sb="17" eb="19">
      <t>カコウ</t>
    </rPh>
    <phoneticPr fontId="4"/>
  </si>
  <si>
    <t>有無、融解有無、材質</t>
    <rPh sb="0" eb="2">
      <t>ウム</t>
    </rPh>
    <rPh sb="3" eb="5">
      <t>ユウカイ</t>
    </rPh>
    <rPh sb="5" eb="7">
      <t>ウム</t>
    </rPh>
    <rPh sb="8" eb="10">
      <t>ザイシツ</t>
    </rPh>
    <phoneticPr fontId="4"/>
  </si>
  <si>
    <t>作業手間</t>
    <rPh sb="0" eb="2">
      <t>サギョウ</t>
    </rPh>
    <rPh sb="2" eb="4">
      <t>テマ</t>
    </rPh>
    <phoneticPr fontId="4"/>
  </si>
  <si>
    <t>場所、供養難度</t>
    <rPh sb="0" eb="2">
      <t>バショ</t>
    </rPh>
    <rPh sb="3" eb="5">
      <t>クヨウ</t>
    </rPh>
    <rPh sb="5" eb="7">
      <t>ナンド</t>
    </rPh>
    <phoneticPr fontId="4"/>
  </si>
  <si>
    <t>戒名</t>
    <rPh sb="0" eb="2">
      <t>カイミョウ</t>
    </rPh>
    <phoneticPr fontId="4"/>
  </si>
  <si>
    <t>文字の長さ、位の高さ</t>
    <rPh sb="0" eb="2">
      <t>モジ</t>
    </rPh>
    <rPh sb="3" eb="4">
      <t>ナガ</t>
    </rPh>
    <rPh sb="6" eb="7">
      <t>クライ</t>
    </rPh>
    <rPh sb="8" eb="9">
      <t>タカ</t>
    </rPh>
    <phoneticPr fontId="4"/>
  </si>
  <si>
    <t>霊数</t>
    <rPh sb="0" eb="1">
      <t>レイ</t>
    </rPh>
    <rPh sb="1" eb="2">
      <t>スウ</t>
    </rPh>
    <phoneticPr fontId="4"/>
  </si>
  <si>
    <t>霊数、取り決め</t>
    <rPh sb="0" eb="1">
      <t>レイ</t>
    </rPh>
    <rPh sb="1" eb="2">
      <t>スウ</t>
    </rPh>
    <rPh sb="3" eb="4">
      <t>ト</t>
    </rPh>
    <rPh sb="5" eb="6">
      <t>キ</t>
    </rPh>
    <phoneticPr fontId="4"/>
  </si>
  <si>
    <t>食事の量と質</t>
    <rPh sb="0" eb="2">
      <t>ショクジ</t>
    </rPh>
    <rPh sb="3" eb="4">
      <t>リョウ</t>
    </rPh>
    <rPh sb="5" eb="6">
      <t>シツ</t>
    </rPh>
    <phoneticPr fontId="4"/>
  </si>
  <si>
    <t>合祀慕</t>
    <rPh sb="0" eb="2">
      <t>ゴウシ</t>
    </rPh>
    <rPh sb="2" eb="3">
      <t>ボ</t>
    </rPh>
    <phoneticPr fontId="4"/>
  </si>
  <si>
    <t>献花台</t>
    <rPh sb="0" eb="2">
      <t>ケンカ</t>
    </rPh>
    <rPh sb="2" eb="3">
      <t>ダイ</t>
    </rPh>
    <phoneticPr fontId="4"/>
  </si>
  <si>
    <t>土台</t>
    <rPh sb="0" eb="2">
      <t>ドダイ</t>
    </rPh>
    <phoneticPr fontId="4"/>
  </si>
  <si>
    <t>期間、霊数、区画面積、地価(ロケーション、駅近、商圏）、収益性（坪単価)</t>
    <rPh sb="0" eb="2">
      <t>キカン</t>
    </rPh>
    <rPh sb="3" eb="4">
      <t>レイ</t>
    </rPh>
    <rPh sb="4" eb="5">
      <t>スウ</t>
    </rPh>
    <rPh sb="6" eb="8">
      <t>クカク</t>
    </rPh>
    <rPh sb="8" eb="10">
      <t>メンセキ</t>
    </rPh>
    <rPh sb="11" eb="13">
      <t>チカ</t>
    </rPh>
    <rPh sb="21" eb="22">
      <t>エキ</t>
    </rPh>
    <rPh sb="22" eb="23">
      <t>チカ</t>
    </rPh>
    <rPh sb="24" eb="26">
      <t>ショウケン</t>
    </rPh>
    <rPh sb="28" eb="31">
      <t>シュウエキセイ</t>
    </rPh>
    <rPh sb="32" eb="33">
      <t>ツボ</t>
    </rPh>
    <rPh sb="33" eb="35">
      <t>タンカ</t>
    </rPh>
    <phoneticPr fontId="4"/>
  </si>
  <si>
    <t>相場(1霊)</t>
    <rPh sb="0" eb="2">
      <t>ソウバ</t>
    </rPh>
    <rPh sb="4" eb="5">
      <t>レイ</t>
    </rPh>
    <phoneticPr fontId="4"/>
  </si>
  <si>
    <t>相場(2霊)</t>
    <rPh sb="0" eb="2">
      <t>ソウバ</t>
    </rPh>
    <rPh sb="4" eb="5">
      <t>レイ</t>
    </rPh>
    <phoneticPr fontId="4"/>
  </si>
  <si>
    <t>相場(3霊)</t>
    <rPh sb="0" eb="2">
      <t>ソウバ</t>
    </rPh>
    <rPh sb="4" eb="5">
      <t>レイ</t>
    </rPh>
    <phoneticPr fontId="4"/>
  </si>
  <si>
    <t>相場(4霊)</t>
    <rPh sb="0" eb="2">
      <t>ソウバ</t>
    </rPh>
    <rPh sb="4" eb="5">
      <t>レイ</t>
    </rPh>
    <phoneticPr fontId="4"/>
  </si>
  <si>
    <t>45～75</t>
    <phoneticPr fontId="4"/>
  </si>
  <si>
    <t>33～72</t>
    <phoneticPr fontId="4"/>
  </si>
  <si>
    <t>(万円)</t>
    <rPh sb="1" eb="3">
      <t>マンエン</t>
    </rPh>
    <phoneticPr fontId="4"/>
  </si>
  <si>
    <t>オプション有無</t>
    <rPh sb="5" eb="7">
      <t>ウム</t>
    </rPh>
    <phoneticPr fontId="4"/>
  </si>
  <si>
    <t>50～95</t>
    <phoneticPr fontId="4"/>
  </si>
  <si>
    <t>オプション有無、場所</t>
    <rPh sb="5" eb="7">
      <t>ウム</t>
    </rPh>
    <rPh sb="8" eb="10">
      <t>バショ</t>
    </rPh>
    <phoneticPr fontId="4"/>
  </si>
  <si>
    <t>70～120</t>
    <phoneticPr fontId="4"/>
  </si>
  <si>
    <t>-</t>
    <phoneticPr fontId="4"/>
  </si>
  <si>
    <t>年数、取り決め</t>
    <rPh sb="0" eb="2">
      <t>ネンスウ</t>
    </rPh>
    <rPh sb="3" eb="4">
      <t>ト</t>
    </rPh>
    <rPh sb="5" eb="6">
      <t>キ</t>
    </rPh>
    <phoneticPr fontId="4"/>
  </si>
  <si>
    <t>5～25</t>
    <phoneticPr fontId="4"/>
  </si>
  <si>
    <t>1?</t>
    <phoneticPr fontId="4"/>
  </si>
  <si>
    <t>-</t>
    <phoneticPr fontId="4"/>
  </si>
  <si>
    <t>3～14</t>
    <phoneticPr fontId="4"/>
  </si>
  <si>
    <t>大きさ、材質</t>
    <rPh sb="0" eb="1">
      <t>オオ</t>
    </rPh>
    <rPh sb="4" eb="6">
      <t>ザイシツ</t>
    </rPh>
    <phoneticPr fontId="4"/>
  </si>
  <si>
    <t>2～20</t>
    <phoneticPr fontId="4"/>
  </si>
  <si>
    <t>1～5</t>
    <phoneticPr fontId="4"/>
  </si>
  <si>
    <t>2～</t>
    <phoneticPr fontId="4"/>
  </si>
  <si>
    <t>1～5</t>
    <phoneticPr fontId="4"/>
  </si>
  <si>
    <t>1～8</t>
    <phoneticPr fontId="4"/>
  </si>
  <si>
    <t>1～3</t>
    <phoneticPr fontId="4"/>
  </si>
  <si>
    <t>1～5</t>
    <phoneticPr fontId="4"/>
  </si>
  <si>
    <t>5～60,300</t>
    <phoneticPr fontId="4"/>
  </si>
  <si>
    <t>3～4</t>
    <phoneticPr fontId="4"/>
  </si>
  <si>
    <t>霊数(単価はどの寺も同じ)</t>
    <rPh sb="0" eb="1">
      <t>レイ</t>
    </rPh>
    <rPh sb="1" eb="2">
      <t>スウ</t>
    </rPh>
    <rPh sb="3" eb="5">
      <t>タンカ</t>
    </rPh>
    <rPh sb="8" eb="9">
      <t>テラ</t>
    </rPh>
    <rPh sb="10" eb="11">
      <t>オナ</t>
    </rPh>
    <phoneticPr fontId="4"/>
  </si>
  <si>
    <t>-の欄は、１霊のケースと重複している</t>
    <rPh sb="2" eb="3">
      <t>ラン</t>
    </rPh>
    <rPh sb="6" eb="7">
      <t>レイ</t>
    </rPh>
    <rPh sb="12" eb="14">
      <t>チョウフク</t>
    </rPh>
    <phoneticPr fontId="4"/>
  </si>
  <si>
    <r>
      <rPr>
        <sz val="12"/>
        <rFont val="ＭＳ Ｐゴシック"/>
        <family val="3"/>
        <charset val="128"/>
        <scheme val="minor"/>
      </rPr>
      <t>価格決定分析：</t>
    </r>
    <r>
      <rPr>
        <sz val="12"/>
        <color rgb="FFFF0000"/>
        <rFont val="ＭＳ Ｐゴシック"/>
        <family val="2"/>
        <charset val="128"/>
        <scheme val="minor"/>
      </rPr>
      <t>価格を上げるのはオプション数及び赤字個所のつり上げによる</t>
    </r>
    <rPh sb="0" eb="2">
      <t>カカク</t>
    </rPh>
    <rPh sb="2" eb="4">
      <t>ケッテイ</t>
    </rPh>
    <rPh sb="4" eb="6">
      <t>ブンセキ</t>
    </rPh>
    <rPh sb="7" eb="9">
      <t>カカク</t>
    </rPh>
    <rPh sb="10" eb="11">
      <t>ア</t>
    </rPh>
    <rPh sb="20" eb="21">
      <t>スウ</t>
    </rPh>
    <rPh sb="21" eb="22">
      <t>オヨ</t>
    </rPh>
    <rPh sb="23" eb="25">
      <t>アカジ</t>
    </rPh>
    <rPh sb="25" eb="27">
      <t>カショ</t>
    </rPh>
    <rPh sb="30" eb="31">
      <t>ア</t>
    </rPh>
    <phoneticPr fontId="4"/>
  </si>
  <si>
    <r>
      <t>区画面積、永代有無、</t>
    </r>
    <r>
      <rPr>
        <sz val="11"/>
        <color rgb="FFFF0000"/>
        <rFont val="ＭＳ Ｐゴシック"/>
        <family val="3"/>
        <charset val="128"/>
        <scheme val="minor"/>
      </rPr>
      <t>他社比較</t>
    </r>
    <rPh sb="0" eb="2">
      <t>クカク</t>
    </rPh>
    <rPh sb="2" eb="4">
      <t>メンセキ</t>
    </rPh>
    <rPh sb="5" eb="7">
      <t>エイタイ</t>
    </rPh>
    <rPh sb="7" eb="9">
      <t>ウム</t>
    </rPh>
    <rPh sb="10" eb="12">
      <t>タシャ</t>
    </rPh>
    <rPh sb="12" eb="14">
      <t>ヒカク</t>
    </rPh>
    <phoneticPr fontId="4"/>
  </si>
  <si>
    <r>
      <rPr>
        <sz val="11"/>
        <rFont val="ＭＳ Ｐゴシック"/>
        <family val="3"/>
        <charset val="128"/>
        <scheme val="minor"/>
      </rPr>
      <t>材質、</t>
    </r>
    <r>
      <rPr>
        <sz val="11"/>
        <color rgb="FFFF0000"/>
        <rFont val="ＭＳ Ｐゴシック"/>
        <family val="2"/>
        <charset val="128"/>
        <scheme val="minor"/>
      </rPr>
      <t>基本価格の調整</t>
    </r>
    <rPh sb="0" eb="2">
      <t>ザイシツ</t>
    </rPh>
    <rPh sb="3" eb="5">
      <t>キホン</t>
    </rPh>
    <rPh sb="5" eb="7">
      <t>カカク</t>
    </rPh>
    <rPh sb="8" eb="10">
      <t>チョウセイ</t>
    </rPh>
    <phoneticPr fontId="4"/>
  </si>
  <si>
    <r>
      <rPr>
        <sz val="11"/>
        <rFont val="ＭＳ Ｐゴシック"/>
        <family val="3"/>
        <charset val="128"/>
        <scheme val="minor"/>
      </rPr>
      <t>材質、</t>
    </r>
    <r>
      <rPr>
        <sz val="11"/>
        <color rgb="FFFF0000"/>
        <rFont val="ＭＳ Ｐゴシック"/>
        <family val="2"/>
        <charset val="128"/>
        <scheme val="minor"/>
      </rPr>
      <t>基本価格の調整</t>
    </r>
    <rPh sb="0" eb="2">
      <t>ザイシツ</t>
    </rPh>
    <rPh sb="3" eb="5">
      <t>キホン</t>
    </rPh>
    <rPh sb="5" eb="7">
      <t>カカク</t>
    </rPh>
    <phoneticPr fontId="4"/>
  </si>
  <si>
    <t>アンカレッジ</t>
  </si>
  <si>
    <t>坪単価</t>
    <rPh sb="0" eb="1">
      <t>ツボ</t>
    </rPh>
    <rPh sb="1" eb="3">
      <t>タンカ</t>
    </rPh>
    <phoneticPr fontId="4"/>
  </si>
  <si>
    <t>最低</t>
    <rPh sb="0" eb="2">
      <t>サイテイ</t>
    </rPh>
    <phoneticPr fontId="4"/>
  </si>
  <si>
    <t>最高</t>
    <rPh sb="0" eb="2">
      <t>サイコウ</t>
    </rPh>
    <phoneticPr fontId="4"/>
  </si>
  <si>
    <t>他社との違い</t>
    <rPh sb="0" eb="2">
      <t>タシャ</t>
    </rPh>
    <rPh sb="4" eb="5">
      <t>チガ</t>
    </rPh>
    <phoneticPr fontId="4"/>
  </si>
  <si>
    <t>価格帯</t>
    <rPh sb="0" eb="2">
      <t>カカク</t>
    </rPh>
    <rPh sb="2" eb="3">
      <t>タイ</t>
    </rPh>
    <phoneticPr fontId="4"/>
  </si>
  <si>
    <t>霊数、墓石、立地における基本価格</t>
    <rPh sb="0" eb="1">
      <t>レイ</t>
    </rPh>
    <rPh sb="1" eb="2">
      <t>スウ</t>
    </rPh>
    <rPh sb="3" eb="5">
      <t>ボセキ</t>
    </rPh>
    <rPh sb="6" eb="8">
      <t>リッチ</t>
    </rPh>
    <rPh sb="12" eb="14">
      <t>キホン</t>
    </rPh>
    <rPh sb="14" eb="16">
      <t>カカク</t>
    </rPh>
    <phoneticPr fontId="4"/>
  </si>
  <si>
    <t>（円）</t>
    <rPh sb="1" eb="2">
      <t>エン</t>
    </rPh>
    <phoneticPr fontId="4"/>
  </si>
  <si>
    <t>霊数、オプション価格</t>
    <rPh sb="0" eb="1">
      <t>レイ</t>
    </rPh>
    <rPh sb="1" eb="2">
      <t>スウ</t>
    </rPh>
    <rPh sb="8" eb="10">
      <t>カカク</t>
    </rPh>
    <phoneticPr fontId="4"/>
  </si>
  <si>
    <t>最低：霊数、最高：区画面積</t>
    <rPh sb="0" eb="2">
      <t>サイテイ</t>
    </rPh>
    <rPh sb="3" eb="4">
      <t>レイ</t>
    </rPh>
    <rPh sb="4" eb="5">
      <t>スウ</t>
    </rPh>
    <rPh sb="6" eb="8">
      <t>サイコウ</t>
    </rPh>
    <rPh sb="9" eb="11">
      <t>クカク</t>
    </rPh>
    <rPh sb="11" eb="13">
      <t>メンセキ</t>
    </rPh>
    <phoneticPr fontId="4"/>
  </si>
  <si>
    <t>1霊にしては基本料金高め、１霊のみ</t>
    <rPh sb="1" eb="2">
      <t>レイ</t>
    </rPh>
    <rPh sb="6" eb="8">
      <t>キホン</t>
    </rPh>
    <rPh sb="8" eb="10">
      <t>リョウキン</t>
    </rPh>
    <rPh sb="10" eb="11">
      <t>タカ</t>
    </rPh>
    <rPh sb="14" eb="15">
      <t>レイ</t>
    </rPh>
    <phoneticPr fontId="4"/>
  </si>
  <si>
    <t>契約期間</t>
    <rPh sb="0" eb="2">
      <t>ケイヤク</t>
    </rPh>
    <rPh sb="2" eb="4">
      <t>キカン</t>
    </rPh>
    <phoneticPr fontId="4"/>
  </si>
  <si>
    <t>契約期間、商品特性</t>
    <rPh sb="0" eb="2">
      <t>ケイヤク</t>
    </rPh>
    <rPh sb="2" eb="4">
      <t>キカン</t>
    </rPh>
    <rPh sb="5" eb="7">
      <t>ショウヒン</t>
    </rPh>
    <rPh sb="7" eb="9">
      <t>トクセイ</t>
    </rPh>
    <phoneticPr fontId="4"/>
  </si>
  <si>
    <t>←契約期間、商品特性で坪単価を変えている</t>
    <rPh sb="1" eb="3">
      <t>ケイヤク</t>
    </rPh>
    <rPh sb="3" eb="5">
      <t>キカン</t>
    </rPh>
    <rPh sb="6" eb="8">
      <t>ショウヒン</t>
    </rPh>
    <rPh sb="8" eb="10">
      <t>トクセイ</t>
    </rPh>
    <rPh sb="11" eb="12">
      <t>ツボ</t>
    </rPh>
    <rPh sb="12" eb="14">
      <t>タンカ</t>
    </rPh>
    <rPh sb="15" eb="16">
      <t>カ</t>
    </rPh>
    <phoneticPr fontId="4"/>
  </si>
  <si>
    <t>最低から最高への値決め</t>
    <rPh sb="0" eb="2">
      <t>サイテイ</t>
    </rPh>
    <rPh sb="4" eb="6">
      <t>サイコウ</t>
    </rPh>
    <rPh sb="8" eb="9">
      <t>ネ</t>
    </rPh>
    <rPh sb="9" eb="10">
      <t>ギ</t>
    </rPh>
    <phoneticPr fontId="4"/>
  </si>
  <si>
    <t>←合祀墓のみのパターンもあり：30万円総額</t>
    <rPh sb="1" eb="3">
      <t>ゴウシ</t>
    </rPh>
    <rPh sb="3" eb="4">
      <t>ボ</t>
    </rPh>
    <rPh sb="17" eb="19">
      <t>マンエン</t>
    </rPh>
    <rPh sb="19" eb="21">
      <t>ソウガク</t>
    </rPh>
    <phoneticPr fontId="4"/>
  </si>
  <si>
    <t>霊数</t>
    <rPh sb="0" eb="1">
      <t>レイ</t>
    </rPh>
    <rPh sb="1" eb="2">
      <t>スウ</t>
    </rPh>
    <phoneticPr fontId="4"/>
  </si>
  <si>
    <t>基本価格でのみ値付け</t>
    <rPh sb="0" eb="2">
      <t>キホン</t>
    </rPh>
    <rPh sb="2" eb="4">
      <t>カカク</t>
    </rPh>
    <rPh sb="7" eb="9">
      <t>ネヅ</t>
    </rPh>
    <phoneticPr fontId="4"/>
  </si>
  <si>
    <t>霊数、基本価格(石込)</t>
    <rPh sb="0" eb="1">
      <t>レイ</t>
    </rPh>
    <rPh sb="1" eb="2">
      <t>スウ</t>
    </rPh>
    <rPh sb="3" eb="5">
      <t>キホン</t>
    </rPh>
    <rPh sb="5" eb="7">
      <t>カカク</t>
    </rPh>
    <rPh sb="8" eb="9">
      <t>イシ</t>
    </rPh>
    <rPh sb="9" eb="10">
      <t>コミ</t>
    </rPh>
    <phoneticPr fontId="4"/>
  </si>
  <si>
    <t>区画面積(10×10）、霊数のみ</t>
    <rPh sb="0" eb="2">
      <t>クカク</t>
    </rPh>
    <rPh sb="2" eb="4">
      <t>メンセキ</t>
    </rPh>
    <rPh sb="12" eb="13">
      <t>レイ</t>
    </rPh>
    <rPh sb="13" eb="14">
      <t>スウ</t>
    </rPh>
    <phoneticPr fontId="4"/>
  </si>
  <si>
    <t>面積(15×15）、石材未使用</t>
    <rPh sb="0" eb="2">
      <t>メンセキ</t>
    </rPh>
    <rPh sb="10" eb="12">
      <t>セキザイ</t>
    </rPh>
    <rPh sb="12" eb="15">
      <t>ミシヨウ</t>
    </rPh>
    <phoneticPr fontId="4"/>
  </si>
  <si>
    <t>区画面積(大きい（50×30）、小さい両方（10×10）)</t>
    <rPh sb="0" eb="2">
      <t>クカク</t>
    </rPh>
    <rPh sb="2" eb="4">
      <t>メンセキ</t>
    </rPh>
    <rPh sb="5" eb="6">
      <t>オオ</t>
    </rPh>
    <rPh sb="16" eb="17">
      <t>チイ</t>
    </rPh>
    <rPh sb="19" eb="21">
      <t>リョウホウ</t>
    </rPh>
    <phoneticPr fontId="4"/>
  </si>
  <si>
    <t>←坪単価を高くし価値訴求をしっかりしている</t>
    <rPh sb="1" eb="2">
      <t>ツボ</t>
    </rPh>
    <rPh sb="2" eb="4">
      <t>タンカ</t>
    </rPh>
    <rPh sb="5" eb="6">
      <t>タカ</t>
    </rPh>
    <rPh sb="8" eb="10">
      <t>カチ</t>
    </rPh>
    <rPh sb="10" eb="12">
      <t>ソキュウ</t>
    </rPh>
    <phoneticPr fontId="4"/>
  </si>
  <si>
    <t>1霊にしては基本料金高め(←所得？)、１霊のみ</t>
    <rPh sb="1" eb="2">
      <t>レイ</t>
    </rPh>
    <rPh sb="6" eb="8">
      <t>キホン</t>
    </rPh>
    <rPh sb="8" eb="10">
      <t>リョウキン</t>
    </rPh>
    <rPh sb="10" eb="11">
      <t>タカ</t>
    </rPh>
    <rPh sb="14" eb="16">
      <t>ショトク</t>
    </rPh>
    <rPh sb="20" eb="21">
      <t>レイ</t>
    </rPh>
    <phoneticPr fontId="4"/>
  </si>
  <si>
    <t>区画面積(24×24）</t>
    <rPh sb="0" eb="2">
      <t>クカク</t>
    </rPh>
    <rPh sb="2" eb="4">
      <t>メンセキ</t>
    </rPh>
    <phoneticPr fontId="4"/>
  </si>
  <si>
    <t>1霊にしては基本料金高め、１霊のみ、面積(15×15）</t>
    <rPh sb="1" eb="2">
      <t>レイ</t>
    </rPh>
    <rPh sb="6" eb="8">
      <t>キホン</t>
    </rPh>
    <rPh sb="8" eb="10">
      <t>リョウキン</t>
    </rPh>
    <rPh sb="10" eb="11">
      <t>タカ</t>
    </rPh>
    <rPh sb="14" eb="15">
      <t>レイ</t>
    </rPh>
    <phoneticPr fontId="4"/>
  </si>
  <si>
    <t>1霊にしては基本料金高め、１霊のみ。面積(15×15）</t>
    <rPh sb="1" eb="2">
      <t>レイ</t>
    </rPh>
    <rPh sb="6" eb="8">
      <t>キホン</t>
    </rPh>
    <rPh sb="8" eb="10">
      <t>リョウキン</t>
    </rPh>
    <rPh sb="10" eb="11">
      <t>タカ</t>
    </rPh>
    <rPh sb="14" eb="15">
      <t>レイ</t>
    </rPh>
    <phoneticPr fontId="4"/>
  </si>
  <si>
    <t>墓石、区画面積、霊数</t>
    <rPh sb="0" eb="2">
      <t>ボセキ</t>
    </rPh>
    <rPh sb="3" eb="5">
      <t>クカク</t>
    </rPh>
    <rPh sb="5" eb="7">
      <t>メンセキ</t>
    </rPh>
    <rPh sb="8" eb="9">
      <t>レイ</t>
    </rPh>
    <rPh sb="9" eb="10">
      <t>スウ</t>
    </rPh>
    <phoneticPr fontId="4"/>
  </si>
  <si>
    <t>8霊分のオプションあり</t>
    <rPh sb="1" eb="2">
      <t>レイ</t>
    </rPh>
    <rPh sb="2" eb="3">
      <t>ブン</t>
    </rPh>
    <phoneticPr fontId="4"/>
  </si>
  <si>
    <t>区画面積(大きい（60×30）、小さい両方（20×20）)</t>
    <rPh sb="0" eb="2">
      <t>クカク</t>
    </rPh>
    <rPh sb="2" eb="4">
      <t>メンセキ</t>
    </rPh>
    <rPh sb="5" eb="6">
      <t>オオ</t>
    </rPh>
    <rPh sb="16" eb="17">
      <t>チイ</t>
    </rPh>
    <rPh sb="19" eb="21">
      <t>リョウホウ</t>
    </rPh>
    <phoneticPr fontId="4"/>
  </si>
  <si>
    <t>プライシング思想</t>
    <rPh sb="6" eb="8">
      <t>シソウ</t>
    </rPh>
    <phoneticPr fontId="4"/>
  </si>
  <si>
    <t>霊数、管理料</t>
    <rPh sb="0" eb="1">
      <t>レイ</t>
    </rPh>
    <rPh sb="3" eb="5">
      <t>カンリ</t>
    </rPh>
    <rPh sb="5" eb="6">
      <t>リョウ</t>
    </rPh>
    <phoneticPr fontId="4"/>
  </si>
  <si>
    <t>✓モジュール化による社員でもプライシング可能な設計にしている</t>
    <rPh sb="6" eb="7">
      <t>カ</t>
    </rPh>
    <rPh sb="10" eb="12">
      <t>シャイン</t>
    </rPh>
    <rPh sb="20" eb="22">
      <t>カノウ</t>
    </rPh>
    <rPh sb="23" eb="25">
      <t>セッケイ</t>
    </rPh>
    <phoneticPr fontId="4"/>
  </si>
  <si>
    <t>✓2霊や3霊など1霊での販売をしていない</t>
    <rPh sb="2" eb="3">
      <t>レイ</t>
    </rPh>
    <rPh sb="5" eb="6">
      <t>レイ</t>
    </rPh>
    <rPh sb="9" eb="10">
      <t>レイ</t>
    </rPh>
    <rPh sb="12" eb="14">
      <t>ハンバイ</t>
    </rPh>
    <phoneticPr fontId="4"/>
  </si>
  <si>
    <t>✓1霊からの販売を行っている</t>
    <rPh sb="2" eb="3">
      <t>レイ</t>
    </rPh>
    <rPh sb="6" eb="8">
      <t>ハンバイ</t>
    </rPh>
    <rPh sb="9" eb="10">
      <t>オコナ</t>
    </rPh>
    <phoneticPr fontId="4"/>
  </si>
  <si>
    <t>✓モジュール化ができていない</t>
    <rPh sb="6" eb="7">
      <t>カ</t>
    </rPh>
    <phoneticPr fontId="4"/>
  </si>
  <si>
    <t>区画面積（24×24）</t>
    <rPh sb="0" eb="2">
      <t>クカク</t>
    </rPh>
    <rPh sb="2" eb="4">
      <t>メンセキ</t>
    </rPh>
    <phoneticPr fontId="4"/>
  </si>
  <si>
    <t>✓アイエム：周辺の調査⇒最低価格がわかる</t>
    <rPh sb="6" eb="8">
      <t>シュウヘン</t>
    </rPh>
    <rPh sb="9" eb="11">
      <t>チョウサ</t>
    </rPh>
    <rPh sb="12" eb="14">
      <t>サイテイ</t>
    </rPh>
    <rPh sb="14" eb="16">
      <t>カカク</t>
    </rPh>
    <phoneticPr fontId="4"/>
  </si>
  <si>
    <t>✓坪効率が良好。価値/価格の訴求がうまくできている。霊数による区画拡張は行っていない</t>
    <rPh sb="1" eb="2">
      <t>ツボ</t>
    </rPh>
    <rPh sb="2" eb="4">
      <t>コウリツ</t>
    </rPh>
    <rPh sb="5" eb="7">
      <t>リョウコウ</t>
    </rPh>
    <rPh sb="8" eb="10">
      <t>カチ</t>
    </rPh>
    <rPh sb="11" eb="13">
      <t>カカク</t>
    </rPh>
    <rPh sb="14" eb="16">
      <t>ソキュウ</t>
    </rPh>
    <phoneticPr fontId="4"/>
  </si>
  <si>
    <t>✓霊数、オプション価格、契約期間で価格差をつけている</t>
    <rPh sb="1" eb="2">
      <t>レイ</t>
    </rPh>
    <rPh sb="2" eb="3">
      <t>スウ</t>
    </rPh>
    <rPh sb="9" eb="11">
      <t>カカク</t>
    </rPh>
    <rPh sb="12" eb="14">
      <t>ケイヤク</t>
    </rPh>
    <rPh sb="14" eb="16">
      <t>キカン</t>
    </rPh>
    <rPh sb="17" eb="20">
      <t>カカクサ</t>
    </rPh>
    <phoneticPr fontId="4"/>
  </si>
  <si>
    <t>✓霊数、管理料、立地における基本価格、墓石、（所得？）で価格差をつけている</t>
    <rPh sb="1" eb="2">
      <t>レイ</t>
    </rPh>
    <rPh sb="2" eb="3">
      <t>スウ</t>
    </rPh>
    <rPh sb="4" eb="6">
      <t>カンリ</t>
    </rPh>
    <rPh sb="6" eb="7">
      <t>リョウ</t>
    </rPh>
    <rPh sb="8" eb="10">
      <t>リッチ</t>
    </rPh>
    <rPh sb="14" eb="16">
      <t>キホン</t>
    </rPh>
    <rPh sb="16" eb="18">
      <t>カカク</t>
    </rPh>
    <rPh sb="19" eb="21">
      <t>ボセキ</t>
    </rPh>
    <rPh sb="23" eb="25">
      <t>ショトク</t>
    </rPh>
    <phoneticPr fontId="4"/>
  </si>
  <si>
    <t>✓モジュール化による社員でもプライシング可能な設計にしている(アイエムのパクリ？源流？)</t>
    <rPh sb="6" eb="7">
      <t>カ</t>
    </rPh>
    <rPh sb="10" eb="12">
      <t>シャイン</t>
    </rPh>
    <rPh sb="20" eb="22">
      <t>カノウ</t>
    </rPh>
    <rPh sb="23" eb="25">
      <t>セッケイ</t>
    </rPh>
    <rPh sb="40" eb="42">
      <t>ゲンリュウ</t>
    </rPh>
    <phoneticPr fontId="4"/>
  </si>
  <si>
    <t>✓坪効率は悪い。24×24の区画面積で、霊数による区画拡張は行っていない</t>
    <rPh sb="1" eb="2">
      <t>ツボ</t>
    </rPh>
    <rPh sb="2" eb="4">
      <t>コウリツ</t>
    </rPh>
    <rPh sb="5" eb="6">
      <t>ワル</t>
    </rPh>
    <rPh sb="14" eb="16">
      <t>クカク</t>
    </rPh>
    <rPh sb="16" eb="18">
      <t>メンセキ</t>
    </rPh>
    <rPh sb="20" eb="21">
      <t>レイ</t>
    </rPh>
    <rPh sb="21" eb="22">
      <t>スウ</t>
    </rPh>
    <rPh sb="25" eb="27">
      <t>クカク</t>
    </rPh>
    <rPh sb="27" eb="29">
      <t>カクチョウ</t>
    </rPh>
    <rPh sb="30" eb="31">
      <t>オコナ</t>
    </rPh>
    <phoneticPr fontId="4"/>
  </si>
  <si>
    <t>✓基本価格、霊数のみで価格差をつけている</t>
    <rPh sb="1" eb="3">
      <t>キホン</t>
    </rPh>
    <rPh sb="3" eb="5">
      <t>カカク</t>
    </rPh>
    <rPh sb="6" eb="7">
      <t>レイ</t>
    </rPh>
    <rPh sb="7" eb="8">
      <t>スウ</t>
    </rPh>
    <phoneticPr fontId="4"/>
  </si>
  <si>
    <t>✓1霊からの販売を行っている。合祀墓のみの販売も行っている</t>
    <rPh sb="2" eb="3">
      <t>レイ</t>
    </rPh>
    <rPh sb="6" eb="8">
      <t>ハンバイ</t>
    </rPh>
    <rPh sb="9" eb="10">
      <t>オコナ</t>
    </rPh>
    <rPh sb="15" eb="17">
      <t>ゴウシ</t>
    </rPh>
    <rPh sb="17" eb="18">
      <t>ボ</t>
    </rPh>
    <rPh sb="21" eb="23">
      <t>ハンバイ</t>
    </rPh>
    <rPh sb="24" eb="25">
      <t>オコナ</t>
    </rPh>
    <phoneticPr fontId="4"/>
  </si>
  <si>
    <t>✓坪効率が良好。価値/価格の訴求がうまくできている。霊数による区画拡張を行っている(結果坪単価落ちている)</t>
    <rPh sb="1" eb="2">
      <t>ツボ</t>
    </rPh>
    <rPh sb="2" eb="4">
      <t>コウリツ</t>
    </rPh>
    <rPh sb="5" eb="7">
      <t>リョウコウ</t>
    </rPh>
    <rPh sb="8" eb="10">
      <t>カチ</t>
    </rPh>
    <rPh sb="11" eb="13">
      <t>カカク</t>
    </rPh>
    <rPh sb="14" eb="16">
      <t>ソキュウ</t>
    </rPh>
    <rPh sb="26" eb="27">
      <t>レイ</t>
    </rPh>
    <rPh sb="36" eb="37">
      <t>オコナ</t>
    </rPh>
    <rPh sb="42" eb="44">
      <t>ケッカ</t>
    </rPh>
    <rPh sb="44" eb="45">
      <t>ツボ</t>
    </rPh>
    <rPh sb="45" eb="47">
      <t>タンカ</t>
    </rPh>
    <rPh sb="47" eb="48">
      <t>オ</t>
    </rPh>
    <phoneticPr fontId="4"/>
  </si>
  <si>
    <t>✓基本価格、霊数のみで価格差をつけている。所得層か？基本価格は非常に高い</t>
    <rPh sb="1" eb="3">
      <t>キホン</t>
    </rPh>
    <rPh sb="3" eb="5">
      <t>カカク</t>
    </rPh>
    <rPh sb="6" eb="7">
      <t>レイ</t>
    </rPh>
    <rPh sb="7" eb="8">
      <t>スウ</t>
    </rPh>
    <rPh sb="21" eb="23">
      <t>ショトク</t>
    </rPh>
    <rPh sb="23" eb="24">
      <t>ソウ</t>
    </rPh>
    <rPh sb="26" eb="28">
      <t>キホン</t>
    </rPh>
    <rPh sb="28" eb="30">
      <t>カカク</t>
    </rPh>
    <rPh sb="31" eb="33">
      <t>ヒジョウ</t>
    </rPh>
    <rPh sb="34" eb="35">
      <t>タカ</t>
    </rPh>
    <phoneticPr fontId="4"/>
  </si>
  <si>
    <t>価格決定</t>
    <rPh sb="0" eb="2">
      <t>カカク</t>
    </rPh>
    <rPh sb="2" eb="4">
      <t>ケッテイ</t>
    </rPh>
    <phoneticPr fontId="4"/>
  </si>
  <si>
    <t>社員移譲可能</t>
    <rPh sb="0" eb="2">
      <t>シャイン</t>
    </rPh>
    <rPh sb="2" eb="4">
      <t>イジョウ</t>
    </rPh>
    <rPh sb="4" eb="6">
      <t>カノウ</t>
    </rPh>
    <phoneticPr fontId="4"/>
  </si>
  <si>
    <t>坪効率</t>
    <rPh sb="0" eb="1">
      <t>ツボ</t>
    </rPh>
    <rPh sb="1" eb="3">
      <t>コウリツ</t>
    </rPh>
    <phoneticPr fontId="4"/>
  </si>
  <si>
    <t>観点</t>
    <rPh sb="0" eb="2">
      <t>カンテン</t>
    </rPh>
    <phoneticPr fontId="4"/>
  </si>
  <si>
    <t>✓墓石、区画面積、霊数で価格差をつけている。</t>
    <rPh sb="1" eb="3">
      <t>ハカイシ</t>
    </rPh>
    <rPh sb="4" eb="6">
      <t>クカク</t>
    </rPh>
    <rPh sb="6" eb="8">
      <t>メンセキ</t>
    </rPh>
    <rPh sb="9" eb="10">
      <t>レイ</t>
    </rPh>
    <rPh sb="10" eb="11">
      <t>スウ</t>
    </rPh>
    <phoneticPr fontId="4"/>
  </si>
  <si>
    <t>✓坪効率は悪い。20×20の区画面積で、霊数による区画拡張は行っている</t>
    <rPh sb="1" eb="2">
      <t>ツボ</t>
    </rPh>
    <rPh sb="2" eb="4">
      <t>コウリツ</t>
    </rPh>
    <rPh sb="5" eb="6">
      <t>ワル</t>
    </rPh>
    <rPh sb="14" eb="16">
      <t>クカク</t>
    </rPh>
    <rPh sb="16" eb="18">
      <t>メンセキ</t>
    </rPh>
    <rPh sb="20" eb="21">
      <t>レイ</t>
    </rPh>
    <rPh sb="21" eb="22">
      <t>スウ</t>
    </rPh>
    <rPh sb="25" eb="27">
      <t>クカク</t>
    </rPh>
    <rPh sb="27" eb="29">
      <t>カクチョウ</t>
    </rPh>
    <rPh sb="30" eb="31">
      <t>オコナ</t>
    </rPh>
    <phoneticPr fontId="4"/>
  </si>
  <si>
    <t>坪効率：都心部は高め(5000万円～1億円)、地方は安め(4000万円～8000万円)</t>
    <rPh sb="0" eb="1">
      <t>ツボ</t>
    </rPh>
    <rPh sb="1" eb="3">
      <t>コウリツ</t>
    </rPh>
    <rPh sb="4" eb="7">
      <t>トシンブ</t>
    </rPh>
    <rPh sb="8" eb="9">
      <t>タカ</t>
    </rPh>
    <rPh sb="15" eb="17">
      <t>マンエン</t>
    </rPh>
    <rPh sb="19" eb="21">
      <t>オクエン</t>
    </rPh>
    <rPh sb="23" eb="25">
      <t>チホウ</t>
    </rPh>
    <rPh sb="26" eb="27">
      <t>ヤス</t>
    </rPh>
    <rPh sb="33" eb="35">
      <t>マンエン</t>
    </rPh>
    <rPh sb="40" eb="42">
      <t>マンエン</t>
    </rPh>
    <phoneticPr fontId="4"/>
  </si>
  <si>
    <t>XX</t>
    <phoneticPr fontId="4"/>
  </si>
  <si>
    <t>XX</t>
    <phoneticPr fontId="4"/>
  </si>
  <si>
    <t>XX</t>
    <phoneticPr fontId="4"/>
  </si>
  <si>
    <t>収益性</t>
    <rPh sb="0" eb="3">
      <t>シュウエキセイ</t>
    </rPh>
    <phoneticPr fontId="4"/>
  </si>
  <si>
    <t>手間</t>
    <rPh sb="0" eb="2">
      <t>テマ</t>
    </rPh>
    <phoneticPr fontId="4"/>
  </si>
  <si>
    <t>商品設計の基本方針</t>
    <rPh sb="0" eb="2">
      <t>ショウヒン</t>
    </rPh>
    <rPh sb="2" eb="4">
      <t>セッケイ</t>
    </rPh>
    <rPh sb="5" eb="7">
      <t>キホン</t>
    </rPh>
    <rPh sb="7" eb="9">
      <t>ホウシン</t>
    </rPh>
    <phoneticPr fontId="4"/>
  </si>
  <si>
    <t>商品性</t>
    <rPh sb="0" eb="2">
      <t>ショウヒン</t>
    </rPh>
    <rPh sb="2" eb="3">
      <t>セイ</t>
    </rPh>
    <phoneticPr fontId="4"/>
  </si>
  <si>
    <t>石材種類・加工・彫刻の統一：X種類、X種類加工、X種類彫刻</t>
    <rPh sb="15" eb="17">
      <t>シュルイ</t>
    </rPh>
    <rPh sb="19" eb="21">
      <t>シュルイ</t>
    </rPh>
    <rPh sb="21" eb="23">
      <t>カコウ</t>
    </rPh>
    <rPh sb="25" eb="27">
      <t>シュルイ</t>
    </rPh>
    <rPh sb="27" eb="29">
      <t>チョウコク</t>
    </rPh>
    <phoneticPr fontId="4"/>
  </si>
  <si>
    <t>寺へのお布施等の統一</t>
    <rPh sb="0" eb="1">
      <t>テラ</t>
    </rPh>
    <rPh sb="4" eb="6">
      <t>フセ</t>
    </rPh>
    <rPh sb="6" eb="7">
      <t>トウ</t>
    </rPh>
    <rPh sb="8" eb="10">
      <t>トウイツ</t>
    </rPh>
    <phoneticPr fontId="4"/>
  </si>
  <si>
    <t>コスト性</t>
    <rPh sb="3" eb="4">
      <t>セイ</t>
    </rPh>
    <phoneticPr fontId="4"/>
  </si>
  <si>
    <t>訴求ポイント</t>
    <rPh sb="0" eb="2">
      <t>ソキュウ</t>
    </rPh>
    <phoneticPr fontId="4"/>
  </si>
  <si>
    <t>寺ブランド（一強型、辺鄙型）</t>
    <rPh sb="0" eb="1">
      <t>テラ</t>
    </rPh>
    <rPh sb="6" eb="8">
      <t>イッキョウ</t>
    </rPh>
    <rPh sb="8" eb="9">
      <t>ガタ</t>
    </rPh>
    <rPh sb="10" eb="12">
      <t>ヘンピ</t>
    </rPh>
    <rPh sb="12" eb="13">
      <t>ガタ</t>
    </rPh>
    <phoneticPr fontId="4"/>
  </si>
  <si>
    <t>アクセス（駅近、平坦な道）</t>
    <rPh sb="5" eb="6">
      <t>エキ</t>
    </rPh>
    <rPh sb="6" eb="7">
      <t>チカ</t>
    </rPh>
    <rPh sb="8" eb="10">
      <t>ヘイタン</t>
    </rPh>
    <rPh sb="11" eb="12">
      <t>ミチ</t>
    </rPh>
    <phoneticPr fontId="4"/>
  </si>
  <si>
    <t>シンプルな構造（ガーデニング型のような訴求はむつかしいから）</t>
    <rPh sb="5" eb="7">
      <t>コウゾウ</t>
    </rPh>
    <rPh sb="14" eb="15">
      <t>ガタ</t>
    </rPh>
    <rPh sb="19" eb="21">
      <t>ソキュウ</t>
    </rPh>
    <phoneticPr fontId="4"/>
  </si>
  <si>
    <t>交渉ポイント</t>
    <rPh sb="0" eb="2">
      <t>コウショウ</t>
    </rPh>
    <phoneticPr fontId="4"/>
  </si>
  <si>
    <t>経営数値</t>
    <rPh sb="0" eb="2">
      <t>ケイエイ</t>
    </rPh>
    <rPh sb="2" eb="4">
      <t>スウチ</t>
    </rPh>
    <phoneticPr fontId="4"/>
  </si>
  <si>
    <t>1霊からの設計で少額にしつつ、2～4霊は穴を同じにして霊数で価格差をつけて高単価にする</t>
    <rPh sb="1" eb="2">
      <t>レイ</t>
    </rPh>
    <rPh sb="5" eb="7">
      <t>セッケイ</t>
    </rPh>
    <rPh sb="8" eb="10">
      <t>ショウガク</t>
    </rPh>
    <rPh sb="18" eb="19">
      <t>レイ</t>
    </rPh>
    <rPh sb="20" eb="21">
      <t>アナ</t>
    </rPh>
    <rPh sb="22" eb="23">
      <t>オナ</t>
    </rPh>
    <rPh sb="27" eb="28">
      <t>レイ</t>
    </rPh>
    <rPh sb="28" eb="29">
      <t>スウ</t>
    </rPh>
    <rPh sb="30" eb="33">
      <t>カカクサ</t>
    </rPh>
    <rPh sb="37" eb="40">
      <t>コウタンカ</t>
    </rPh>
    <phoneticPr fontId="4"/>
  </si>
  <si>
    <t>線香立て：合同</t>
    <rPh sb="0" eb="2">
      <t>センコウ</t>
    </rPh>
    <rPh sb="2" eb="3">
      <t>タ</t>
    </rPh>
    <rPh sb="5" eb="7">
      <t>ゴウドウ</t>
    </rPh>
    <phoneticPr fontId="4"/>
  </si>
  <si>
    <t>土台：アイエム型（ただし、クライアント石土台は後程のパターン）</t>
    <rPh sb="0" eb="2">
      <t>ドダイ</t>
    </rPh>
    <rPh sb="7" eb="8">
      <t>ガタ</t>
    </rPh>
    <rPh sb="19" eb="20">
      <t>イシ</t>
    </rPh>
    <rPh sb="20" eb="22">
      <t>ドダイ</t>
    </rPh>
    <rPh sb="23" eb="25">
      <t>ノチホド</t>
    </rPh>
    <phoneticPr fontId="4"/>
  </si>
  <si>
    <t>商品特性</t>
    <rPh sb="0" eb="2">
      <t>ショウヒン</t>
    </rPh>
    <rPh sb="2" eb="4">
      <t>トクセイ</t>
    </rPh>
    <phoneticPr fontId="4"/>
  </si>
  <si>
    <t>フィージビリティー</t>
    <phoneticPr fontId="4"/>
  </si>
  <si>
    <t>差分</t>
    <rPh sb="0" eb="2">
      <t>サブン</t>
    </rPh>
    <phoneticPr fontId="4"/>
  </si>
  <si>
    <t>商品数は売れ筋系を9割で、不人気商品を１割にする</t>
    <rPh sb="0" eb="2">
      <t>ショウヒン</t>
    </rPh>
    <rPh sb="2" eb="3">
      <t>スウ</t>
    </rPh>
    <rPh sb="4" eb="5">
      <t>ウ</t>
    </rPh>
    <rPh sb="6" eb="7">
      <t>スジ</t>
    </rPh>
    <rPh sb="7" eb="8">
      <t>ケイ</t>
    </rPh>
    <rPh sb="10" eb="11">
      <t>ワリ</t>
    </rPh>
    <rPh sb="13" eb="16">
      <t>フニンキ</t>
    </rPh>
    <rPh sb="16" eb="18">
      <t>ショウヒン</t>
    </rPh>
    <rPh sb="20" eb="21">
      <t>ワリ</t>
    </rPh>
    <phoneticPr fontId="4"/>
  </si>
  <si>
    <t>合祀慕：ガーデニング型、画一型、自寺院利用型</t>
    <rPh sb="0" eb="2">
      <t>ゴウシ</t>
    </rPh>
    <rPh sb="2" eb="3">
      <t>ボ</t>
    </rPh>
    <rPh sb="10" eb="11">
      <t>ガタ</t>
    </rPh>
    <rPh sb="12" eb="15">
      <t>カクイツガタ</t>
    </rPh>
    <rPh sb="16" eb="17">
      <t>ジ</t>
    </rPh>
    <rPh sb="17" eb="19">
      <t>ジイン</t>
    </rPh>
    <rPh sb="19" eb="22">
      <t>リヨウガタ</t>
    </rPh>
    <phoneticPr fontId="4"/>
  </si>
  <si>
    <t>アイエム型、ガーデニング型及びハイブリット型かたの選択</t>
    <rPh sb="4" eb="5">
      <t>ガタ</t>
    </rPh>
    <rPh sb="12" eb="13">
      <t>ガタ</t>
    </rPh>
    <rPh sb="13" eb="14">
      <t>オヨ</t>
    </rPh>
    <rPh sb="21" eb="22">
      <t>ガタ</t>
    </rPh>
    <rPh sb="25" eb="27">
      <t>センタク</t>
    </rPh>
    <phoneticPr fontId="4"/>
  </si>
  <si>
    <t>□型</t>
    <rPh sb="1" eb="2">
      <t>ガタ</t>
    </rPh>
    <phoneticPr fontId="4"/>
  </si>
  <si>
    <t>商品数：包み込みの発想（1霊～4霊以上、13年・23年、合祀墓のみの販売等)</t>
    <rPh sb="0" eb="2">
      <t>ショウヒン</t>
    </rPh>
    <rPh sb="2" eb="3">
      <t>スウ</t>
    </rPh>
    <rPh sb="4" eb="5">
      <t>ツツ</t>
    </rPh>
    <rPh sb="6" eb="7">
      <t>コ</t>
    </rPh>
    <rPh sb="9" eb="11">
      <t>ハッソウ</t>
    </rPh>
    <rPh sb="13" eb="14">
      <t>レイ</t>
    </rPh>
    <rPh sb="16" eb="17">
      <t>レイ</t>
    </rPh>
    <rPh sb="17" eb="19">
      <t>イジョウ</t>
    </rPh>
    <rPh sb="22" eb="23">
      <t>ネン</t>
    </rPh>
    <rPh sb="26" eb="27">
      <t>ネン</t>
    </rPh>
    <rPh sb="28" eb="30">
      <t>ゴウシ</t>
    </rPh>
    <rPh sb="30" eb="31">
      <t>ボ</t>
    </rPh>
    <rPh sb="34" eb="36">
      <t>ハンバイ</t>
    </rPh>
    <rPh sb="36" eb="37">
      <t>トウ</t>
    </rPh>
    <phoneticPr fontId="4"/>
  </si>
  <si>
    <t>割安感：1霊相場は33～77だが、30万円で売り出すなど地域予想相場の2割安で販売</t>
    <rPh sb="0" eb="3">
      <t>ワリヤスカン</t>
    </rPh>
    <rPh sb="5" eb="6">
      <t>レイ</t>
    </rPh>
    <rPh sb="6" eb="8">
      <t>ソウバ</t>
    </rPh>
    <rPh sb="19" eb="21">
      <t>マンエン</t>
    </rPh>
    <rPh sb="22" eb="23">
      <t>ウ</t>
    </rPh>
    <rPh sb="24" eb="25">
      <t>ダ</t>
    </rPh>
    <rPh sb="28" eb="30">
      <t>チイキ</t>
    </rPh>
    <rPh sb="30" eb="32">
      <t>ヨソウ</t>
    </rPh>
    <rPh sb="32" eb="34">
      <t>ソウバ</t>
    </rPh>
    <rPh sb="36" eb="38">
      <t>ワリヤス</t>
    </rPh>
    <rPh sb="39" eb="41">
      <t>ハンバイ</t>
    </rPh>
    <phoneticPr fontId="4"/>
  </si>
  <si>
    <t>営業満足度（画一的なパート説明ではなくヒアリングを基にする）</t>
    <rPh sb="0" eb="2">
      <t>エイギョウ</t>
    </rPh>
    <rPh sb="2" eb="5">
      <t>マンゾクド</t>
    </rPh>
    <rPh sb="6" eb="9">
      <t>カクイツテキ</t>
    </rPh>
    <rPh sb="13" eb="15">
      <t>セツメイ</t>
    </rPh>
    <rPh sb="25" eb="26">
      <t>モト</t>
    </rPh>
    <phoneticPr fontId="4"/>
  </si>
  <si>
    <t>寺：基本価格、年間管理料、年間護持費、納骨代金等の販売代金</t>
    <rPh sb="0" eb="1">
      <t>テラ</t>
    </rPh>
    <rPh sb="2" eb="4">
      <t>キホン</t>
    </rPh>
    <rPh sb="4" eb="6">
      <t>カカク</t>
    </rPh>
    <rPh sb="7" eb="9">
      <t>ネンカン</t>
    </rPh>
    <rPh sb="9" eb="11">
      <t>カンリ</t>
    </rPh>
    <rPh sb="11" eb="12">
      <t>リョウ</t>
    </rPh>
    <rPh sb="13" eb="15">
      <t>ネンカン</t>
    </rPh>
    <rPh sb="15" eb="17">
      <t>ゴジ</t>
    </rPh>
    <rPh sb="17" eb="18">
      <t>ヒ</t>
    </rPh>
    <rPh sb="19" eb="21">
      <t>ノウコツ</t>
    </rPh>
    <rPh sb="21" eb="23">
      <t>ダイキン</t>
    </rPh>
    <rPh sb="23" eb="24">
      <t>トウ</t>
    </rPh>
    <rPh sb="25" eb="27">
      <t>ハンバイ</t>
    </rPh>
    <rPh sb="27" eb="29">
      <t>ダイキン</t>
    </rPh>
    <phoneticPr fontId="4"/>
  </si>
  <si>
    <t>石屋：石材、納骨方法</t>
    <rPh sb="0" eb="1">
      <t>イシ</t>
    </rPh>
    <rPh sb="1" eb="2">
      <t>ヤ</t>
    </rPh>
    <rPh sb="3" eb="5">
      <t>セキザイ</t>
    </rPh>
    <rPh sb="6" eb="8">
      <t>ノウコツ</t>
    </rPh>
    <rPh sb="8" eb="10">
      <t>ホウホウ</t>
    </rPh>
    <phoneticPr fontId="4"/>
  </si>
  <si>
    <t>区画面積一定：15×15等（超都市部は困難になる、坪単価の柔軟な変更はむつかしい)</t>
    <rPh sb="0" eb="2">
      <t>クカク</t>
    </rPh>
    <rPh sb="2" eb="4">
      <t>メンセキ</t>
    </rPh>
    <rPh sb="4" eb="6">
      <t>イッテイ</t>
    </rPh>
    <rPh sb="12" eb="13">
      <t>トウ</t>
    </rPh>
    <rPh sb="14" eb="15">
      <t>チョウ</t>
    </rPh>
    <rPh sb="15" eb="18">
      <t>トシブ</t>
    </rPh>
    <rPh sb="19" eb="21">
      <t>コンナン</t>
    </rPh>
    <rPh sb="25" eb="26">
      <t>ツボ</t>
    </rPh>
    <rPh sb="26" eb="28">
      <t>タンカ</t>
    </rPh>
    <rPh sb="29" eb="31">
      <t>ジュウナン</t>
    </rPh>
    <rPh sb="32" eb="34">
      <t>ヘンコウ</t>
    </rPh>
    <phoneticPr fontId="4"/>
  </si>
  <si>
    <t>納骨法統一：パウダー加工、ステンレス製、納骨袋の可能性あり</t>
    <rPh sb="0" eb="2">
      <t>ノウコツ</t>
    </rPh>
    <rPh sb="2" eb="3">
      <t>ホウ</t>
    </rPh>
    <rPh sb="3" eb="5">
      <t>トウイツ</t>
    </rPh>
    <rPh sb="10" eb="12">
      <t>カコウ</t>
    </rPh>
    <rPh sb="18" eb="19">
      <t>セイ</t>
    </rPh>
    <rPh sb="20" eb="22">
      <t>ノウコツ</t>
    </rPh>
    <rPh sb="22" eb="23">
      <t>ブクロ</t>
    </rPh>
    <rPh sb="24" eb="27">
      <t>カノウセイ</t>
    </rPh>
    <phoneticPr fontId="4"/>
  </si>
  <si>
    <t>早期完売</t>
    <rPh sb="0" eb="2">
      <t>ソウキ</t>
    </rPh>
    <rPh sb="2" eb="4">
      <t>カンバイ</t>
    </rPh>
    <phoneticPr fontId="4"/>
  </si>
  <si>
    <t>組織的営業力（画一的なパート説明ではなくヒアリングを基にする）</t>
    <rPh sb="0" eb="3">
      <t>ソシキテキ</t>
    </rPh>
    <rPh sb="3" eb="5">
      <t>エイギョウ</t>
    </rPh>
    <rPh sb="5" eb="6">
      <t>リョク</t>
    </rPh>
    <rPh sb="7" eb="10">
      <t>カクイツテキ</t>
    </rPh>
    <rPh sb="14" eb="16">
      <t>セツメイ</t>
    </rPh>
    <rPh sb="26" eb="27">
      <t>モト</t>
    </rPh>
    <phoneticPr fontId="4"/>
  </si>
  <si>
    <t>前提条件</t>
    <rPh sb="0" eb="2">
      <t>ゼンテイ</t>
    </rPh>
    <rPh sb="2" eb="4">
      <t>ジョウケン</t>
    </rPh>
    <phoneticPr fontId="4"/>
  </si>
  <si>
    <t>概要</t>
    <rPh sb="0" eb="2">
      <t>ガイヨウ</t>
    </rPh>
    <phoneticPr fontId="4"/>
  </si>
  <si>
    <t>メモ</t>
    <phoneticPr fontId="4"/>
  </si>
  <si>
    <t>造成面積</t>
    <rPh sb="0" eb="2">
      <t>ゾウセイ</t>
    </rPh>
    <rPh sb="2" eb="4">
      <t>メンセキ</t>
    </rPh>
    <phoneticPr fontId="4"/>
  </si>
  <si>
    <t>縦2.5m×横25m×1段</t>
    <rPh sb="0" eb="1">
      <t>タテ</t>
    </rPh>
    <rPh sb="6" eb="7">
      <t>ヨコ</t>
    </rPh>
    <rPh sb="12" eb="13">
      <t>ダン</t>
    </rPh>
    <phoneticPr fontId="4"/>
  </si>
  <si>
    <t>5段所有</t>
    <rPh sb="1" eb="2">
      <t>ダン</t>
    </rPh>
    <rPh sb="2" eb="4">
      <t>ショユウ</t>
    </rPh>
    <phoneticPr fontId="4"/>
  </si>
  <si>
    <t>鎌倉市の所得水準</t>
    <rPh sb="0" eb="3">
      <t>カマクラシ</t>
    </rPh>
    <rPh sb="4" eb="6">
      <t>ショトク</t>
    </rPh>
    <rPh sb="6" eb="8">
      <t>スイジュン</t>
    </rPh>
    <phoneticPr fontId="4"/>
  </si>
  <si>
    <t>足利市の所得水準</t>
    <rPh sb="0" eb="3">
      <t>アシカガシ</t>
    </rPh>
    <rPh sb="4" eb="6">
      <t>ショトク</t>
    </rPh>
    <rPh sb="6" eb="8">
      <t>スイジュン</t>
    </rPh>
    <phoneticPr fontId="4"/>
  </si>
  <si>
    <t>柏市の所得水準</t>
    <rPh sb="0" eb="1">
      <t>カシワ</t>
    </rPh>
    <rPh sb="1" eb="2">
      <t>シ</t>
    </rPh>
    <rPh sb="3" eb="5">
      <t>ショトク</t>
    </rPh>
    <rPh sb="5" eb="7">
      <t>スイジュン</t>
    </rPh>
    <phoneticPr fontId="4"/>
  </si>
  <si>
    <t>松江市の所得水準</t>
    <rPh sb="0" eb="2">
      <t>マツエ</t>
    </rPh>
    <rPh sb="2" eb="3">
      <t>シ</t>
    </rPh>
    <rPh sb="4" eb="6">
      <t>ショトク</t>
    </rPh>
    <rPh sb="6" eb="8">
      <t>スイジュン</t>
    </rPh>
    <phoneticPr fontId="4"/>
  </si>
  <si>
    <t>https://www.nenshuu.net/prefecture/shotoku/in_shotoku_city.php</t>
    <phoneticPr fontId="4"/>
  </si>
  <si>
    <t>万円</t>
    <rPh sb="0" eb="2">
      <t>マンエン</t>
    </rPh>
    <phoneticPr fontId="4"/>
  </si>
  <si>
    <t>タイプ</t>
    <phoneticPr fontId="4"/>
  </si>
  <si>
    <t>ハイブリット型</t>
    <rPh sb="6" eb="7">
      <t>ガタ</t>
    </rPh>
    <phoneticPr fontId="4"/>
  </si>
  <si>
    <t>ガーデニング要素も加味した場合</t>
    <rPh sb="6" eb="8">
      <t>ヨウソ</t>
    </rPh>
    <rPh sb="9" eb="11">
      <t>カミ</t>
    </rPh>
    <rPh sb="13" eb="15">
      <t>バアイ</t>
    </rPh>
    <phoneticPr fontId="4"/>
  </si>
  <si>
    <t>合祀墓型</t>
    <rPh sb="0" eb="2">
      <t>ゴウシ</t>
    </rPh>
    <rPh sb="2" eb="3">
      <t>ボ</t>
    </rPh>
    <rPh sb="3" eb="4">
      <t>ガタ</t>
    </rPh>
    <phoneticPr fontId="4"/>
  </si>
  <si>
    <t>価格</t>
    <rPh sb="0" eb="2">
      <t>カカク</t>
    </rPh>
    <phoneticPr fontId="4"/>
  </si>
  <si>
    <t>備考</t>
    <rPh sb="0" eb="2">
      <t>ビコウ</t>
    </rPh>
    <phoneticPr fontId="4"/>
  </si>
  <si>
    <t>5%造成、前後10％の価格差により3種類化</t>
    <rPh sb="2" eb="4">
      <t>ゾウセイ</t>
    </rPh>
    <rPh sb="5" eb="7">
      <t>ゼンゴ</t>
    </rPh>
    <rPh sb="11" eb="14">
      <t>カカクサ</t>
    </rPh>
    <rPh sb="18" eb="20">
      <t>シュルイ</t>
    </rPh>
    <rPh sb="20" eb="21">
      <t>カ</t>
    </rPh>
    <phoneticPr fontId="4"/>
  </si>
  <si>
    <t>45%造成、前後10％の価格差により3種類化</t>
    <rPh sb="3" eb="5">
      <t>ゾウセイ</t>
    </rPh>
    <rPh sb="6" eb="8">
      <t>ゼンゴ</t>
    </rPh>
    <rPh sb="12" eb="15">
      <t>カカクサ</t>
    </rPh>
    <rPh sb="19" eb="21">
      <t>シュルイ</t>
    </rPh>
    <rPh sb="21" eb="22">
      <t>カ</t>
    </rPh>
    <phoneticPr fontId="4"/>
  </si>
  <si>
    <t>13年のみにするほうがいいと思います</t>
    <rPh sb="2" eb="3">
      <t>ネン</t>
    </rPh>
    <rPh sb="14" eb="15">
      <t>オモ</t>
    </rPh>
    <phoneticPr fontId="4"/>
  </si>
  <si>
    <t>1区画：3～14万円</t>
    <rPh sb="1" eb="3">
      <t>クカク</t>
    </rPh>
    <rPh sb="8" eb="10">
      <t>マンエン</t>
    </rPh>
    <phoneticPr fontId="4"/>
  </si>
  <si>
    <t>1区画：2～20万円</t>
    <rPh sb="1" eb="3">
      <t>クカク</t>
    </rPh>
    <rPh sb="8" eb="10">
      <t>マンエン</t>
    </rPh>
    <phoneticPr fontId="4"/>
  </si>
  <si>
    <t>1区画：1～5万円</t>
    <rPh sb="1" eb="3">
      <t>クカク</t>
    </rPh>
    <rPh sb="7" eb="9">
      <t>マンエン</t>
    </rPh>
    <phoneticPr fontId="4"/>
  </si>
  <si>
    <t>1区画：5万円</t>
    <rPh sb="1" eb="3">
      <t>クカク</t>
    </rPh>
    <rPh sb="5" eb="7">
      <t>マンエン</t>
    </rPh>
    <phoneticPr fontId="4"/>
  </si>
  <si>
    <t>1区画：1.5万円</t>
    <rPh sb="1" eb="3">
      <t>クカク</t>
    </rPh>
    <rPh sb="7" eb="9">
      <t>マンエン</t>
    </rPh>
    <phoneticPr fontId="4"/>
  </si>
  <si>
    <t>1区画：2万円</t>
    <rPh sb="1" eb="3">
      <t>クカク</t>
    </rPh>
    <rPh sb="5" eb="7">
      <t>マンエン</t>
    </rPh>
    <phoneticPr fontId="4"/>
  </si>
  <si>
    <t>なし</t>
    <phoneticPr fontId="4"/>
  </si>
  <si>
    <t>1区画：2万円～</t>
    <rPh sb="1" eb="3">
      <t>クカク</t>
    </rPh>
    <rPh sb="5" eb="7">
      <t>マンエン</t>
    </rPh>
    <phoneticPr fontId="4"/>
  </si>
  <si>
    <t>1霊：3万円</t>
    <rPh sb="1" eb="2">
      <t>レイ</t>
    </rPh>
    <rPh sb="4" eb="6">
      <t>マンエン</t>
    </rPh>
    <phoneticPr fontId="4"/>
  </si>
  <si>
    <t>パウダー加工、ステンレス製</t>
    <rPh sb="4" eb="6">
      <t>カコウ</t>
    </rPh>
    <rPh sb="12" eb="13">
      <t>セイ</t>
    </rPh>
    <phoneticPr fontId="4"/>
  </si>
  <si>
    <t>1霊：1万円</t>
    <rPh sb="1" eb="2">
      <t>レイ</t>
    </rPh>
    <rPh sb="4" eb="6">
      <t>マンエン</t>
    </rPh>
    <phoneticPr fontId="4"/>
  </si>
  <si>
    <t>1霊：1～3万円</t>
    <rPh sb="1" eb="2">
      <t>レイ</t>
    </rPh>
    <rPh sb="6" eb="8">
      <t>マンエン</t>
    </rPh>
    <phoneticPr fontId="4"/>
  </si>
  <si>
    <t>1霊：1～5万円</t>
    <rPh sb="1" eb="2">
      <t>レイ</t>
    </rPh>
    <rPh sb="6" eb="8">
      <t>マンエン</t>
    </rPh>
    <phoneticPr fontId="4"/>
  </si>
  <si>
    <t>1霊：5～300万円</t>
    <rPh sb="1" eb="2">
      <t>レイ</t>
    </rPh>
    <rPh sb="8" eb="10">
      <t>マンエン</t>
    </rPh>
    <phoneticPr fontId="4"/>
  </si>
  <si>
    <t>1霊：3～4万円</t>
    <rPh sb="1" eb="2">
      <t>レイ</t>
    </rPh>
    <rPh sb="6" eb="8">
      <t>マンエン</t>
    </rPh>
    <phoneticPr fontId="4"/>
  </si>
  <si>
    <t>1霊：0.3万円</t>
    <rPh sb="1" eb="2">
      <t>レイ</t>
    </rPh>
    <rPh sb="6" eb="8">
      <t>マンエン</t>
    </rPh>
    <phoneticPr fontId="4"/>
  </si>
  <si>
    <t>1区画：20万円</t>
    <rPh sb="1" eb="3">
      <t>クカク</t>
    </rPh>
    <rPh sb="6" eb="8">
      <t>マンエン</t>
    </rPh>
    <phoneticPr fontId="4"/>
  </si>
  <si>
    <t>1語参列者：0.5万円</t>
    <rPh sb="1" eb="2">
      <t>ゴ</t>
    </rPh>
    <rPh sb="2" eb="5">
      <t>サンレツシャ</t>
    </rPh>
    <rPh sb="9" eb="11">
      <t>マンエン</t>
    </rPh>
    <phoneticPr fontId="4"/>
  </si>
  <si>
    <t>0%、寺院様とご相談</t>
    <rPh sb="3" eb="5">
      <t>ジイン</t>
    </rPh>
    <rPh sb="5" eb="6">
      <t>サマ</t>
    </rPh>
    <rPh sb="8" eb="10">
      <t>ソウダン</t>
    </rPh>
    <phoneticPr fontId="4"/>
  </si>
  <si>
    <t>寺院様とご相談</t>
  </si>
  <si>
    <t>1区画（13年）：6.5万円、1区画（23年）：11.5万円</t>
    <rPh sb="1" eb="3">
      <t>クカク</t>
    </rPh>
    <rPh sb="6" eb="7">
      <t>ネン</t>
    </rPh>
    <rPh sb="12" eb="14">
      <t>マンエン</t>
    </rPh>
    <rPh sb="16" eb="18">
      <t>クカク</t>
    </rPh>
    <rPh sb="21" eb="22">
      <t>ネン</t>
    </rPh>
    <rPh sb="28" eb="30">
      <t>マンエン</t>
    </rPh>
    <phoneticPr fontId="4"/>
  </si>
  <si>
    <t>1区画（13年）：5万円、1区画（23年）：10万円</t>
    <rPh sb="1" eb="3">
      <t>クカク</t>
    </rPh>
    <rPh sb="6" eb="7">
      <t>ネン</t>
    </rPh>
    <rPh sb="10" eb="12">
      <t>マンエン</t>
    </rPh>
    <rPh sb="14" eb="16">
      <t>クカク</t>
    </rPh>
    <rPh sb="19" eb="20">
      <t>ネン</t>
    </rPh>
    <rPh sb="24" eb="26">
      <t>マンエン</t>
    </rPh>
    <phoneticPr fontId="4"/>
  </si>
  <si>
    <t>石材事業者との協議（契約体系により配分検討）</t>
    <rPh sb="0" eb="2">
      <t>セキザイ</t>
    </rPh>
    <rPh sb="2" eb="5">
      <t>ジギョウシャ</t>
    </rPh>
    <rPh sb="7" eb="9">
      <t>キョウギ</t>
    </rPh>
    <rPh sb="10" eb="12">
      <t>ケイヤク</t>
    </rPh>
    <rPh sb="12" eb="14">
      <t>タイケイ</t>
    </rPh>
    <rPh sb="17" eb="19">
      <t>ハイブン</t>
    </rPh>
    <rPh sb="19" eb="21">
      <t>ケントウ</t>
    </rPh>
    <phoneticPr fontId="4"/>
  </si>
  <si>
    <t>計算項目</t>
    <rPh sb="0" eb="2">
      <t>ケイサン</t>
    </rPh>
    <rPh sb="2" eb="4">
      <t>コウモク</t>
    </rPh>
    <phoneticPr fontId="4"/>
  </si>
  <si>
    <t>単位</t>
    <rPh sb="0" eb="2">
      <t>タンイ</t>
    </rPh>
    <phoneticPr fontId="4"/>
  </si>
  <si>
    <t>敷地縦</t>
    <rPh sb="0" eb="2">
      <t>シキチ</t>
    </rPh>
    <rPh sb="2" eb="3">
      <t>タテ</t>
    </rPh>
    <phoneticPr fontId="4"/>
  </si>
  <si>
    <t>敷地横</t>
    <rPh sb="0" eb="2">
      <t>シキチ</t>
    </rPh>
    <rPh sb="2" eb="3">
      <t>ヨコ</t>
    </rPh>
    <phoneticPr fontId="4"/>
  </si>
  <si>
    <t>敷地数</t>
    <rPh sb="0" eb="2">
      <t>シキチ</t>
    </rPh>
    <rPh sb="2" eb="3">
      <t>スウ</t>
    </rPh>
    <phoneticPr fontId="4"/>
  </si>
  <si>
    <t>総面積</t>
    <rPh sb="0" eb="3">
      <t>ソウメンセキ</t>
    </rPh>
    <phoneticPr fontId="4"/>
  </si>
  <si>
    <t>敷地徒歩縦</t>
    <rPh sb="0" eb="2">
      <t>シキチ</t>
    </rPh>
    <rPh sb="2" eb="4">
      <t>トホ</t>
    </rPh>
    <rPh sb="4" eb="5">
      <t>タテ</t>
    </rPh>
    <phoneticPr fontId="4"/>
  </si>
  <si>
    <t>敷地徒歩横</t>
    <rPh sb="0" eb="2">
      <t>シキチ</t>
    </rPh>
    <rPh sb="2" eb="4">
      <t>トホ</t>
    </rPh>
    <rPh sb="4" eb="5">
      <t>ヨコ</t>
    </rPh>
    <phoneticPr fontId="4"/>
  </si>
  <si>
    <t>造成面積</t>
    <rPh sb="0" eb="2">
      <t>ゾウセイ</t>
    </rPh>
    <rPh sb="2" eb="4">
      <t>メンセキ</t>
    </rPh>
    <phoneticPr fontId="4"/>
  </si>
  <si>
    <t>最低価格</t>
    <rPh sb="0" eb="2">
      <t>サイテイ</t>
    </rPh>
    <rPh sb="2" eb="4">
      <t>カカク</t>
    </rPh>
    <phoneticPr fontId="4"/>
  </si>
  <si>
    <t>最高価格</t>
    <rPh sb="0" eb="2">
      <t>サイコウ</t>
    </rPh>
    <rPh sb="2" eb="4">
      <t>カカク</t>
    </rPh>
    <phoneticPr fontId="4"/>
  </si>
  <si>
    <t>最低坪単価</t>
    <rPh sb="0" eb="2">
      <t>サイテイ</t>
    </rPh>
    <rPh sb="2" eb="3">
      <t>ツボ</t>
    </rPh>
    <rPh sb="3" eb="5">
      <t>タンカ</t>
    </rPh>
    <phoneticPr fontId="4"/>
  </si>
  <si>
    <t>最高坪単価</t>
    <rPh sb="0" eb="2">
      <t>サイコウ</t>
    </rPh>
    <rPh sb="2" eb="3">
      <t>ツボ</t>
    </rPh>
    <rPh sb="3" eb="5">
      <t>タンカ</t>
    </rPh>
    <phoneticPr fontId="4"/>
  </si>
  <si>
    <t>数値</t>
    <rPh sb="0" eb="2">
      <t>スウチ</t>
    </rPh>
    <phoneticPr fontId="4"/>
  </si>
  <si>
    <t>m</t>
  </si>
  <si>
    <t>m</t>
    <phoneticPr fontId="4"/>
  </si>
  <si>
    <t>㎡</t>
  </si>
  <si>
    <t>㎡</t>
    <phoneticPr fontId="4"/>
  </si>
  <si>
    <t>個</t>
    <rPh sb="0" eb="1">
      <t>コ</t>
    </rPh>
    <phoneticPr fontId="4"/>
  </si>
  <si>
    <t>平均（鎌倉・島根）</t>
    <rPh sb="0" eb="2">
      <t>ヘイキン</t>
    </rPh>
    <rPh sb="3" eb="5">
      <t>カマクラ</t>
    </rPh>
    <rPh sb="6" eb="8">
      <t>シマネ</t>
    </rPh>
    <phoneticPr fontId="4"/>
  </si>
  <si>
    <t>自社参考価格帯</t>
    <rPh sb="0" eb="2">
      <t>ジシャ</t>
    </rPh>
    <rPh sb="2" eb="4">
      <t>サンコウ</t>
    </rPh>
    <rPh sb="4" eb="6">
      <t>カカク</t>
    </rPh>
    <rPh sb="6" eb="7">
      <t>タイ</t>
    </rPh>
    <phoneticPr fontId="4"/>
  </si>
  <si>
    <t>足利市修正</t>
    <rPh sb="0" eb="3">
      <t>アシカガシ</t>
    </rPh>
    <rPh sb="3" eb="5">
      <t>シュウセイ</t>
    </rPh>
    <phoneticPr fontId="4"/>
  </si>
  <si>
    <t>万円</t>
    <rPh sb="0" eb="2">
      <t>マンエン</t>
    </rPh>
    <phoneticPr fontId="4"/>
  </si>
  <si>
    <t>重要視なし</t>
    <rPh sb="0" eb="3">
      <t>ジュウヨウシ</t>
    </rPh>
    <phoneticPr fontId="4"/>
  </si>
  <si>
    <t>区分</t>
    <rPh sb="0" eb="2">
      <t>クブン</t>
    </rPh>
    <phoneticPr fontId="4"/>
  </si>
  <si>
    <t>敷地</t>
    <rPh sb="0" eb="2">
      <t>シキチ</t>
    </rPh>
    <phoneticPr fontId="4"/>
  </si>
  <si>
    <t>予想価格帯</t>
    <rPh sb="0" eb="2">
      <t>ヨソウ</t>
    </rPh>
    <rPh sb="2" eb="4">
      <t>カカク</t>
    </rPh>
    <rPh sb="4" eb="5">
      <t>タイ</t>
    </rPh>
    <phoneticPr fontId="4"/>
  </si>
  <si>
    <t>造成単位縦</t>
    <rPh sb="0" eb="2">
      <t>ゾウセイ</t>
    </rPh>
    <rPh sb="2" eb="4">
      <t>タンイ</t>
    </rPh>
    <rPh sb="4" eb="5">
      <t>タテ</t>
    </rPh>
    <phoneticPr fontId="4"/>
  </si>
  <si>
    <t>芝生型</t>
    <rPh sb="0" eb="2">
      <t>シバフ</t>
    </rPh>
    <rPh sb="2" eb="3">
      <t>ガタ</t>
    </rPh>
    <phoneticPr fontId="4"/>
  </si>
  <si>
    <t>小墓石型</t>
    <rPh sb="0" eb="1">
      <t>ショウ</t>
    </rPh>
    <rPh sb="1" eb="3">
      <t>ボセキ</t>
    </rPh>
    <rPh sb="3" eb="4">
      <t>ガタ</t>
    </rPh>
    <phoneticPr fontId="4"/>
  </si>
  <si>
    <t>大墓石型</t>
    <rPh sb="0" eb="1">
      <t>ダイ</t>
    </rPh>
    <rPh sb="1" eb="3">
      <t>ボセキ</t>
    </rPh>
    <rPh sb="3" eb="4">
      <t>ガタ</t>
    </rPh>
    <phoneticPr fontId="4"/>
  </si>
  <si>
    <t>一般墓型</t>
    <rPh sb="0" eb="2">
      <t>イッパン</t>
    </rPh>
    <rPh sb="2" eb="3">
      <t>ボ</t>
    </rPh>
    <rPh sb="3" eb="4">
      <t>ガタ</t>
    </rPh>
    <phoneticPr fontId="4"/>
  </si>
  <si>
    <t>造成単位横</t>
    <rPh sb="0" eb="2">
      <t>ゾウセイ</t>
    </rPh>
    <rPh sb="2" eb="4">
      <t>タンイ</t>
    </rPh>
    <rPh sb="4" eb="5">
      <t>ヨコ</t>
    </rPh>
    <phoneticPr fontId="4"/>
  </si>
  <si>
    <t>造成単位面積</t>
    <rPh sb="0" eb="2">
      <t>ゾウセイ</t>
    </rPh>
    <rPh sb="2" eb="4">
      <t>タンイ</t>
    </rPh>
    <rPh sb="4" eb="6">
      <t>メンセキ</t>
    </rPh>
    <phoneticPr fontId="4"/>
  </si>
  <si>
    <t>造成割合</t>
    <rPh sb="0" eb="2">
      <t>ゾウセイ</t>
    </rPh>
    <rPh sb="2" eb="4">
      <t>ワリアイ</t>
    </rPh>
    <phoneticPr fontId="4"/>
  </si>
  <si>
    <t>造成可能数</t>
    <rPh sb="0" eb="2">
      <t>ゾウセイ</t>
    </rPh>
    <rPh sb="2" eb="4">
      <t>カノウ</t>
    </rPh>
    <rPh sb="4" eb="5">
      <t>スウ</t>
    </rPh>
    <phoneticPr fontId="4"/>
  </si>
  <si>
    <t>造成可能面積</t>
    <rPh sb="0" eb="2">
      <t>ゾウセイ</t>
    </rPh>
    <rPh sb="2" eb="4">
      <t>カノウ</t>
    </rPh>
    <rPh sb="4" eb="6">
      <t>メンセキ</t>
    </rPh>
    <phoneticPr fontId="4"/>
  </si>
  <si>
    <t>造成数</t>
    <rPh sb="0" eb="2">
      <t>ゾウセイ</t>
    </rPh>
    <rPh sb="2" eb="3">
      <t>スウ</t>
    </rPh>
    <phoneticPr fontId="4"/>
  </si>
  <si>
    <t>予想坪単価</t>
    <rPh sb="0" eb="2">
      <t>ヨソウ</t>
    </rPh>
    <rPh sb="2" eb="3">
      <t>ツボ</t>
    </rPh>
    <rPh sb="3" eb="5">
      <t>タンカ</t>
    </rPh>
    <phoneticPr fontId="4"/>
  </si>
  <si>
    <t>販売価格</t>
    <rPh sb="0" eb="2">
      <t>ハンバイ</t>
    </rPh>
    <rPh sb="2" eb="4">
      <t>カカク</t>
    </rPh>
    <phoneticPr fontId="4"/>
  </si>
  <si>
    <t>霊想定</t>
    <rPh sb="0" eb="1">
      <t>レイ</t>
    </rPh>
    <rPh sb="1" eb="3">
      <t>ソウテイ</t>
    </rPh>
    <phoneticPr fontId="4"/>
  </si>
  <si>
    <t>売上</t>
    <rPh sb="0" eb="2">
      <t>ウリアゲ</t>
    </rPh>
    <phoneticPr fontId="4"/>
  </si>
  <si>
    <t>最大売上</t>
    <rPh sb="0" eb="2">
      <t>サイダイ</t>
    </rPh>
    <rPh sb="2" eb="4">
      <t>ウリアゲ</t>
    </rPh>
    <phoneticPr fontId="4"/>
  </si>
  <si>
    <t>効率性</t>
    <rPh sb="0" eb="3">
      <t>コウリツセイ</t>
    </rPh>
    <phoneticPr fontId="4"/>
  </si>
  <si>
    <t>㎡単価</t>
    <rPh sb="1" eb="3">
      <t>タンカ</t>
    </rPh>
    <phoneticPr fontId="4"/>
  </si>
  <si>
    <t>販売価格・坪効率</t>
    <rPh sb="0" eb="2">
      <t>ハンバイ</t>
    </rPh>
    <rPh sb="2" eb="4">
      <t>カカク</t>
    </rPh>
    <rPh sb="5" eb="6">
      <t>ツボ</t>
    </rPh>
    <rPh sb="6" eb="8">
      <t>コウリツ</t>
    </rPh>
    <phoneticPr fontId="4"/>
  </si>
  <si>
    <t>芝生型18×18</t>
    <rPh sb="0" eb="2">
      <t>シバフ</t>
    </rPh>
    <rPh sb="2" eb="3">
      <t>ガタ</t>
    </rPh>
    <phoneticPr fontId="4"/>
  </si>
  <si>
    <t>小墓石型１5×１5（１0×10×5）</t>
    <rPh sb="0" eb="1">
      <t>ショウ</t>
    </rPh>
    <rPh sb="1" eb="3">
      <t>ボセキ</t>
    </rPh>
    <rPh sb="3" eb="4">
      <t>ガタ</t>
    </rPh>
    <phoneticPr fontId="4"/>
  </si>
  <si>
    <t>大墓石型20×20（16×16×１０）</t>
    <rPh sb="0" eb="1">
      <t>ダイ</t>
    </rPh>
    <rPh sb="1" eb="3">
      <t>ボセキ</t>
    </rPh>
    <rPh sb="3" eb="4">
      <t>ガタ</t>
    </rPh>
    <phoneticPr fontId="4"/>
  </si>
  <si>
    <t>一般墓型60×30（50×25×25）</t>
    <rPh sb="0" eb="2">
      <t>イッパン</t>
    </rPh>
    <rPh sb="2" eb="3">
      <t>ボ</t>
    </rPh>
    <rPh sb="3" eb="4">
      <t>ガタ</t>
    </rPh>
    <phoneticPr fontId="4"/>
  </si>
  <si>
    <t>基本割合</t>
    <rPh sb="0" eb="2">
      <t>キホン</t>
    </rPh>
    <rPh sb="2" eb="4">
      <t>ワリアイ</t>
    </rPh>
    <phoneticPr fontId="11"/>
  </si>
  <si>
    <t>想定</t>
    <rPh sb="0" eb="2">
      <t>ソウテイ</t>
    </rPh>
    <phoneticPr fontId="4"/>
  </si>
  <si>
    <t>1霊：20万円</t>
    <rPh sb="1" eb="2">
      <t>レイ</t>
    </rPh>
    <rPh sb="5" eb="7">
      <t>マンエン</t>
    </rPh>
    <phoneticPr fontId="4"/>
  </si>
  <si>
    <t>1霊：30万円</t>
    <rPh sb="1" eb="2">
      <t>レイ</t>
    </rPh>
    <rPh sb="5" eb="7">
      <t>マンエン</t>
    </rPh>
    <phoneticPr fontId="4"/>
  </si>
  <si>
    <t>4霊：80万円、5霊：95万円、6霊：110万円、7霊：125万円、8霊：140万円</t>
    <rPh sb="1" eb="2">
      <t>レイ</t>
    </rPh>
    <rPh sb="5" eb="7">
      <t>マンエン</t>
    </rPh>
    <phoneticPr fontId="4"/>
  </si>
  <si>
    <t>1霊：15万円</t>
    <rPh sb="1" eb="2">
      <t>レイ</t>
    </rPh>
    <rPh sb="5" eb="7">
      <t>マンエン</t>
    </rPh>
    <phoneticPr fontId="4"/>
  </si>
  <si>
    <t>商品設計・価格表</t>
    <rPh sb="0" eb="2">
      <t>ショウヒン</t>
    </rPh>
    <rPh sb="2" eb="4">
      <t>セッケイ</t>
    </rPh>
    <rPh sb="5" eb="7">
      <t>カカク</t>
    </rPh>
    <rPh sb="7" eb="8">
      <t>ヒョウ</t>
    </rPh>
    <phoneticPr fontId="4"/>
  </si>
  <si>
    <t>KPI</t>
    <phoneticPr fontId="4"/>
  </si>
  <si>
    <t>最大成約数</t>
    <rPh sb="0" eb="2">
      <t>サイダイ</t>
    </rPh>
    <rPh sb="2" eb="4">
      <t>セイヤク</t>
    </rPh>
    <rPh sb="4" eb="5">
      <t>スウ</t>
    </rPh>
    <phoneticPr fontId="4"/>
  </si>
  <si>
    <t>成約率</t>
    <rPh sb="0" eb="2">
      <t>セイヤク</t>
    </rPh>
    <rPh sb="2" eb="3">
      <t>リツ</t>
    </rPh>
    <phoneticPr fontId="4"/>
  </si>
  <si>
    <t>3か月後</t>
    <rPh sb="2" eb="4">
      <t>ゲツゴ</t>
    </rPh>
    <phoneticPr fontId="4"/>
  </si>
  <si>
    <t>1年後</t>
    <rPh sb="1" eb="3">
      <t>ネンゴ</t>
    </rPh>
    <phoneticPr fontId="4"/>
  </si>
  <si>
    <t>3年後</t>
    <rPh sb="1" eb="3">
      <t>ネンゴ</t>
    </rPh>
    <phoneticPr fontId="4"/>
  </si>
  <si>
    <t>単価</t>
    <rPh sb="0" eb="2">
      <t>タンカ</t>
    </rPh>
    <phoneticPr fontId="4"/>
  </si>
  <si>
    <t>寺院様割合</t>
    <rPh sb="0" eb="2">
      <t>ジイン</t>
    </rPh>
    <rPh sb="2" eb="3">
      <t>サマ</t>
    </rPh>
    <rPh sb="3" eb="5">
      <t>ワリアイ</t>
    </rPh>
    <phoneticPr fontId="4"/>
  </si>
  <si>
    <t>費用</t>
    <rPh sb="0" eb="2">
      <t>ヒヨウ</t>
    </rPh>
    <phoneticPr fontId="4"/>
  </si>
  <si>
    <t>遊休地稼働</t>
    <rPh sb="0" eb="3">
      <t>ユウキュウチ</t>
    </rPh>
    <rPh sb="3" eb="5">
      <t>カドウ</t>
    </rPh>
    <phoneticPr fontId="4"/>
  </si>
  <si>
    <t>管理費</t>
    <rPh sb="0" eb="3">
      <t>カンリヒ</t>
    </rPh>
    <phoneticPr fontId="4"/>
  </si>
  <si>
    <t>兼業想定</t>
    <rPh sb="0" eb="2">
      <t>ケンギョウ</t>
    </rPh>
    <rPh sb="2" eb="4">
      <t>ソウテイ</t>
    </rPh>
    <phoneticPr fontId="4"/>
  </si>
  <si>
    <t>1年後</t>
    <rPh sb="1" eb="2">
      <t>ネン</t>
    </rPh>
    <rPh sb="2" eb="3">
      <t>アト</t>
    </rPh>
    <phoneticPr fontId="4"/>
  </si>
  <si>
    <t>3年後</t>
    <rPh sb="1" eb="2">
      <t>ネン</t>
    </rPh>
    <rPh sb="2" eb="3">
      <t>アト</t>
    </rPh>
    <phoneticPr fontId="4"/>
  </si>
  <si>
    <t>数値（万円）</t>
    <rPh sb="0" eb="2">
      <t>スウチ</t>
    </rPh>
    <rPh sb="3" eb="5">
      <t>マンエン</t>
    </rPh>
    <phoneticPr fontId="4"/>
  </si>
  <si>
    <t>納骨法要最大件数</t>
    <rPh sb="0" eb="2">
      <t>ノウコツ</t>
    </rPh>
    <rPh sb="2" eb="4">
      <t>ホウヨウ</t>
    </rPh>
    <rPh sb="4" eb="6">
      <t>サイダイ</t>
    </rPh>
    <rPh sb="6" eb="8">
      <t>ケンスウ</t>
    </rPh>
    <phoneticPr fontId="4"/>
  </si>
  <si>
    <t>納骨法要移行割合</t>
    <rPh sb="0" eb="2">
      <t>ノウコツ</t>
    </rPh>
    <rPh sb="2" eb="4">
      <t>ホウヨウ</t>
    </rPh>
    <rPh sb="4" eb="6">
      <t>イコウ</t>
    </rPh>
    <rPh sb="6" eb="8">
      <t>ワリアイ</t>
    </rPh>
    <phoneticPr fontId="4"/>
  </si>
  <si>
    <t>納骨法要平均金額</t>
    <rPh sb="0" eb="2">
      <t>ノウコツ</t>
    </rPh>
    <rPh sb="2" eb="4">
      <t>ホウヨウ</t>
    </rPh>
    <rPh sb="4" eb="6">
      <t>ヘイキン</t>
    </rPh>
    <rPh sb="6" eb="8">
      <t>キンガク</t>
    </rPh>
    <phoneticPr fontId="4"/>
  </si>
  <si>
    <t>成約率（3か月後）</t>
    <rPh sb="0" eb="2">
      <t>セイヤク</t>
    </rPh>
    <rPh sb="2" eb="3">
      <t>リツ</t>
    </rPh>
    <rPh sb="6" eb="8">
      <t>ゲツゴ</t>
    </rPh>
    <phoneticPr fontId="4"/>
  </si>
  <si>
    <t>成約率（1年後）</t>
    <rPh sb="0" eb="2">
      <t>セイヤク</t>
    </rPh>
    <rPh sb="2" eb="3">
      <t>リツ</t>
    </rPh>
    <rPh sb="5" eb="7">
      <t>ネンゴ</t>
    </rPh>
    <rPh sb="6" eb="7">
      <t>アト</t>
    </rPh>
    <phoneticPr fontId="4"/>
  </si>
  <si>
    <t>成約率（3年後）</t>
    <rPh sb="0" eb="2">
      <t>セイヤク</t>
    </rPh>
    <rPh sb="2" eb="3">
      <t>リツ</t>
    </rPh>
    <rPh sb="5" eb="6">
      <t>ネン</t>
    </rPh>
    <rPh sb="6" eb="7">
      <t>アト</t>
    </rPh>
    <phoneticPr fontId="4"/>
  </si>
  <si>
    <t>$</t>
    <phoneticPr fontId="4"/>
  </si>
  <si>
    <t>商品収支（納骨法要部分）</t>
    <rPh sb="0" eb="2">
      <t>ショウヒン</t>
    </rPh>
    <rPh sb="2" eb="4">
      <t>シュウシ</t>
    </rPh>
    <rPh sb="5" eb="7">
      <t>ノウコツ</t>
    </rPh>
    <rPh sb="7" eb="9">
      <t>ホウヨウ</t>
    </rPh>
    <rPh sb="9" eb="11">
      <t>ブブン</t>
    </rPh>
    <phoneticPr fontId="4"/>
  </si>
  <si>
    <t>供養件数</t>
    <rPh sb="0" eb="2">
      <t>クヨウ</t>
    </rPh>
    <rPh sb="2" eb="4">
      <t>ケンスウ</t>
    </rPh>
    <phoneticPr fontId="4"/>
  </si>
  <si>
    <t>1回忌</t>
    <rPh sb="1" eb="3">
      <t>カイキ</t>
    </rPh>
    <phoneticPr fontId="4"/>
  </si>
  <si>
    <t>3回忌</t>
    <rPh sb="1" eb="3">
      <t>カイキ</t>
    </rPh>
    <phoneticPr fontId="4"/>
  </si>
  <si>
    <t>7回忌</t>
    <rPh sb="1" eb="3">
      <t>カイキ</t>
    </rPh>
    <phoneticPr fontId="4"/>
  </si>
  <si>
    <t>13回忌</t>
    <rPh sb="2" eb="4">
      <t>カイキ</t>
    </rPh>
    <phoneticPr fontId="4"/>
  </si>
  <si>
    <t>供養移行割合</t>
    <rPh sb="0" eb="2">
      <t>クヨウ</t>
    </rPh>
    <rPh sb="2" eb="4">
      <t>イコウ</t>
    </rPh>
    <rPh sb="4" eb="6">
      <t>ワリアイ</t>
    </rPh>
    <phoneticPr fontId="4"/>
  </si>
  <si>
    <t>供養平均金額</t>
    <rPh sb="0" eb="2">
      <t>クヨウ</t>
    </rPh>
    <rPh sb="2" eb="4">
      <t>ヘイキン</t>
    </rPh>
    <rPh sb="4" eb="6">
      <t>キンガク</t>
    </rPh>
    <phoneticPr fontId="4"/>
  </si>
  <si>
    <t>件</t>
    <rPh sb="0" eb="1">
      <t>ケン</t>
    </rPh>
    <phoneticPr fontId="4"/>
  </si>
  <si>
    <t>実際は2年後</t>
    <rPh sb="0" eb="2">
      <t>ジッサイ</t>
    </rPh>
    <rPh sb="4" eb="6">
      <t>ネンゴ</t>
    </rPh>
    <phoneticPr fontId="4"/>
  </si>
  <si>
    <t>実際は6年後</t>
    <rPh sb="0" eb="2">
      <t>ジッサイ</t>
    </rPh>
    <rPh sb="4" eb="6">
      <t>ネンゴ</t>
    </rPh>
    <phoneticPr fontId="4"/>
  </si>
  <si>
    <t>2霊：50万円、3霊：60万円、4霊：70万円</t>
    <rPh sb="17" eb="18">
      <t>レイ</t>
    </rPh>
    <rPh sb="21" eb="23">
      <t>マンエン</t>
    </rPh>
    <phoneticPr fontId="4"/>
  </si>
  <si>
    <t>商品収支（年回忌法要部分）</t>
    <rPh sb="0" eb="2">
      <t>ショウヒン</t>
    </rPh>
    <rPh sb="2" eb="4">
      <t>シュウシ</t>
    </rPh>
    <rPh sb="5" eb="6">
      <t>ネン</t>
    </rPh>
    <rPh sb="6" eb="8">
      <t>カイキ</t>
    </rPh>
    <rPh sb="8" eb="10">
      <t>ホウヨウ</t>
    </rPh>
    <rPh sb="10" eb="12">
      <t>ブブン</t>
    </rPh>
    <phoneticPr fontId="4"/>
  </si>
  <si>
    <t>A社事例</t>
    <rPh sb="1" eb="2">
      <t>シャ</t>
    </rPh>
    <rPh sb="2" eb="4">
      <t>ジレイ</t>
    </rPh>
    <phoneticPr fontId="4"/>
  </si>
  <si>
    <t>販促費</t>
    <rPh sb="0" eb="2">
      <t>ハンソク</t>
    </rPh>
    <rPh sb="2" eb="3">
      <t>ヒ</t>
    </rPh>
    <phoneticPr fontId="4"/>
  </si>
  <si>
    <t>LP</t>
    <phoneticPr fontId="4"/>
  </si>
  <si>
    <t>カタログ</t>
    <phoneticPr fontId="4"/>
  </si>
  <si>
    <t>チラシ</t>
    <phoneticPr fontId="4"/>
  </si>
  <si>
    <t>造成費</t>
    <rPh sb="0" eb="2">
      <t>ゾウセイ</t>
    </rPh>
    <rPh sb="2" eb="3">
      <t>ヒ</t>
    </rPh>
    <phoneticPr fontId="4"/>
  </si>
  <si>
    <t>墓石（レイアウト用）</t>
    <rPh sb="0" eb="2">
      <t>ハカイシ</t>
    </rPh>
    <rPh sb="8" eb="9">
      <t>ヨウ</t>
    </rPh>
    <phoneticPr fontId="4"/>
  </si>
  <si>
    <t>=5*10*10</t>
    <phoneticPr fontId="4"/>
  </si>
  <si>
    <t>PPC</t>
    <phoneticPr fontId="4"/>
  </si>
  <si>
    <t>道看板</t>
    <rPh sb="0" eb="1">
      <t>ミチ</t>
    </rPh>
    <rPh sb="1" eb="3">
      <t>カンバン</t>
    </rPh>
    <phoneticPr fontId="4"/>
  </si>
  <si>
    <t>20/月</t>
    <rPh sb="3" eb="4">
      <t>ツキ</t>
    </rPh>
    <phoneticPr fontId="4"/>
  </si>
  <si>
    <t>5/月</t>
    <rPh sb="2" eb="3">
      <t>ツキ</t>
    </rPh>
    <phoneticPr fontId="4"/>
  </si>
  <si>
    <t>営業員(契約社員/1人)</t>
    <rPh sb="0" eb="3">
      <t>エイギョウイン</t>
    </rPh>
    <rPh sb="4" eb="6">
      <t>ケイヤク</t>
    </rPh>
    <rPh sb="6" eb="8">
      <t>シャイン</t>
    </rPh>
    <rPh sb="10" eb="11">
      <t>ニン</t>
    </rPh>
    <phoneticPr fontId="4"/>
  </si>
  <si>
    <t>営業経費</t>
    <rPh sb="0" eb="2">
      <t>エイギョウ</t>
    </rPh>
    <rPh sb="2" eb="4">
      <t>ケイヒ</t>
    </rPh>
    <phoneticPr fontId="4"/>
  </si>
  <si>
    <t>コスト構造</t>
    <rPh sb="3" eb="5">
      <t>コウゾウ</t>
    </rPh>
    <phoneticPr fontId="4"/>
  </si>
  <si>
    <t>カテゴリー</t>
    <phoneticPr fontId="4"/>
  </si>
  <si>
    <t>項目</t>
    <rPh sb="0" eb="2">
      <t>コウモク</t>
    </rPh>
    <phoneticPr fontId="4"/>
  </si>
  <si>
    <t>計算過程</t>
    <rPh sb="0" eb="2">
      <t>ケイサン</t>
    </rPh>
    <rPh sb="2" eb="4">
      <t>カテイ</t>
    </rPh>
    <phoneticPr fontId="4"/>
  </si>
  <si>
    <t>メモ</t>
    <phoneticPr fontId="4"/>
  </si>
  <si>
    <t>XXX</t>
    <phoneticPr fontId="4"/>
  </si>
  <si>
    <t>XXX</t>
    <phoneticPr fontId="4"/>
  </si>
  <si>
    <t>総額</t>
    <rPh sb="0" eb="2">
      <t>ソウガク</t>
    </rPh>
    <phoneticPr fontId="4"/>
  </si>
  <si>
    <t>総額</t>
    <rPh sb="0" eb="2">
      <t>ソウガク</t>
    </rPh>
    <phoneticPr fontId="4"/>
  </si>
  <si>
    <t>㎡</t>
    <phoneticPr fontId="4"/>
  </si>
  <si>
    <t>250万円が原価という想定で、こちらはその2倍</t>
    <rPh sb="3" eb="5">
      <t>マンエン</t>
    </rPh>
    <rPh sb="6" eb="8">
      <t>ゲンカ</t>
    </rPh>
    <rPh sb="11" eb="13">
      <t>ソウテイ</t>
    </rPh>
    <rPh sb="22" eb="23">
      <t>バイ</t>
    </rPh>
    <phoneticPr fontId="4"/>
  </si>
  <si>
    <t>XXX</t>
    <phoneticPr fontId="4"/>
  </si>
  <si>
    <t>XXX</t>
    <phoneticPr fontId="4"/>
  </si>
  <si>
    <t>月ベース</t>
    <phoneticPr fontId="4"/>
  </si>
  <si>
    <t>数値（万円）</t>
    <rPh sb="0" eb="2">
      <t>スウチ</t>
    </rPh>
    <rPh sb="3" eb="4">
      <t>マン</t>
    </rPh>
    <rPh sb="4" eb="5">
      <t>エン</t>
    </rPh>
    <phoneticPr fontId="4"/>
  </si>
  <si>
    <t>40～50墓石を事前に配置。1基XXX円と想定</t>
    <rPh sb="5" eb="7">
      <t>ボセキ</t>
    </rPh>
    <rPh sb="8" eb="10">
      <t>ジゼン</t>
    </rPh>
    <rPh sb="11" eb="13">
      <t>ハイチ</t>
    </rPh>
    <rPh sb="15" eb="16">
      <t>キ</t>
    </rPh>
    <rPh sb="19" eb="20">
      <t>エン</t>
    </rPh>
    <rPh sb="21" eb="23">
      <t>ソウテイ</t>
    </rPh>
    <phoneticPr fontId="4"/>
  </si>
  <si>
    <t>イニシャルコストとランニングコストの総額。ランニングコストは初期3か月の合計金額を想定</t>
    <rPh sb="18" eb="20">
      <t>ソウガク</t>
    </rPh>
    <rPh sb="30" eb="32">
      <t>ショキ</t>
    </rPh>
    <rPh sb="34" eb="35">
      <t>ゲツ</t>
    </rPh>
    <rPh sb="36" eb="38">
      <t>ゴウケイ</t>
    </rPh>
    <rPh sb="38" eb="40">
      <t>キンガク</t>
    </rPh>
    <rPh sb="41" eb="43">
      <t>ソウテイ</t>
    </rPh>
    <phoneticPr fontId="4"/>
  </si>
  <si>
    <t>イニシャルコスト</t>
    <phoneticPr fontId="4"/>
  </si>
  <si>
    <t>ランニングコスト</t>
    <phoneticPr fontId="4"/>
  </si>
  <si>
    <t>3か月</t>
    <rPh sb="2" eb="3">
      <t>ゲツ</t>
    </rPh>
    <phoneticPr fontId="4"/>
  </si>
  <si>
    <t>総コスト</t>
    <rPh sb="0" eb="1">
      <t>ソウ</t>
    </rPh>
    <phoneticPr fontId="4"/>
  </si>
  <si>
    <t>コスト性質</t>
    <rPh sb="3" eb="5">
      <t>セイシツ</t>
    </rPh>
    <phoneticPr fontId="4"/>
  </si>
  <si>
    <t>余分調整後</t>
    <rPh sb="0" eb="2">
      <t>ヨブン</t>
    </rPh>
    <rPh sb="2" eb="4">
      <t>チョウセイ</t>
    </rPh>
    <rPh sb="4" eb="5">
      <t>ゴ</t>
    </rPh>
    <phoneticPr fontId="4"/>
  </si>
  <si>
    <r>
      <t>加工手間、行数（名前、生年月日、その他文字）、</t>
    </r>
    <r>
      <rPr>
        <sz val="11"/>
        <color rgb="FFFF0000"/>
        <rFont val="ＭＳ Ｐゴシック"/>
        <family val="3"/>
        <charset val="128"/>
        <scheme val="minor"/>
      </rPr>
      <t>変動期待</t>
    </r>
    <rPh sb="0" eb="2">
      <t>カコウ</t>
    </rPh>
    <rPh sb="2" eb="4">
      <t>テマ</t>
    </rPh>
    <rPh sb="5" eb="7">
      <t>ギョウスウ</t>
    </rPh>
    <rPh sb="8" eb="10">
      <t>ナマエ</t>
    </rPh>
    <rPh sb="11" eb="13">
      <t>セイネン</t>
    </rPh>
    <rPh sb="13" eb="15">
      <t>ガッピ</t>
    </rPh>
    <rPh sb="18" eb="19">
      <t>タ</t>
    </rPh>
    <rPh sb="19" eb="21">
      <t>モンジ</t>
    </rPh>
    <rPh sb="23" eb="25">
      <t>ヘンドウ</t>
    </rPh>
    <rPh sb="25" eb="27">
      <t>キタイ</t>
    </rPh>
    <phoneticPr fontId="4"/>
  </si>
  <si>
    <r>
      <t>作業手間</t>
    </r>
    <r>
      <rPr>
        <sz val="11"/>
        <color rgb="FFFF0000"/>
        <rFont val="ＭＳ Ｐゴシック"/>
        <family val="3"/>
        <charset val="128"/>
        <scheme val="minor"/>
      </rPr>
      <t>、変動期待</t>
    </r>
    <rPh sb="0" eb="2">
      <t>サギョウ</t>
    </rPh>
    <rPh sb="2" eb="4">
      <t>テマ</t>
    </rPh>
    <phoneticPr fontId="4"/>
  </si>
  <si>
    <t>単位調整</t>
    <rPh sb="0" eb="2">
      <t>タンイ</t>
    </rPh>
    <rPh sb="2" eb="4">
      <t>チョウセイ</t>
    </rPh>
    <phoneticPr fontId="4"/>
  </si>
  <si>
    <t>単位調節</t>
    <rPh sb="0" eb="2">
      <t>タンイ</t>
    </rPh>
    <rPh sb="2" eb="4">
      <t>チョウセツ</t>
    </rPh>
    <phoneticPr fontId="4"/>
  </si>
  <si>
    <t>実範囲</t>
    <rPh sb="0" eb="1">
      <t>ジツ</t>
    </rPh>
    <rPh sb="1" eb="3">
      <t>ハンイ</t>
    </rPh>
    <phoneticPr fontId="4"/>
  </si>
  <si>
    <t>間隔考慮</t>
    <rPh sb="0" eb="2">
      <t>カンカク</t>
    </rPh>
    <rPh sb="2" eb="4">
      <t>コウリョ</t>
    </rPh>
    <phoneticPr fontId="4"/>
  </si>
  <si>
    <t>万円</t>
    <rPh sb="0" eb="2">
      <t>マンエン</t>
    </rPh>
    <phoneticPr fontId="4"/>
  </si>
  <si>
    <t>商品収支（造成部分）、税抜</t>
    <rPh sb="0" eb="2">
      <t>ショウヒン</t>
    </rPh>
    <rPh sb="2" eb="4">
      <t>シュウシ</t>
    </rPh>
    <rPh sb="5" eb="7">
      <t>ゾウセイ</t>
    </rPh>
    <rPh sb="7" eb="9">
      <t>ブブン</t>
    </rPh>
    <rPh sb="11" eb="12">
      <t>ゼイ</t>
    </rPh>
    <rPh sb="12" eb="13">
      <t>ヌ</t>
    </rPh>
    <phoneticPr fontId="4"/>
  </si>
  <si>
    <t>商品収支（総合計）、税抜</t>
    <rPh sb="0" eb="2">
      <t>ショウヒン</t>
    </rPh>
    <rPh sb="2" eb="4">
      <t>シュウシ</t>
    </rPh>
    <rPh sb="5" eb="6">
      <t>ソウ</t>
    </rPh>
    <rPh sb="6" eb="8">
      <t>ゴウケイ</t>
    </rPh>
    <phoneticPr fontId="4"/>
  </si>
  <si>
    <t>お墓購入件数・霊数(80％充足後)</t>
    <rPh sb="1" eb="2">
      <t>ハカ</t>
    </rPh>
    <rPh sb="2" eb="4">
      <t>コウニュウ</t>
    </rPh>
    <rPh sb="4" eb="6">
      <t>ケンスウ</t>
    </rPh>
    <rPh sb="7" eb="8">
      <t>レイ</t>
    </rPh>
    <rPh sb="8" eb="9">
      <t>スウ</t>
    </rPh>
    <rPh sb="13" eb="15">
      <t>ジュウソク</t>
    </rPh>
    <rPh sb="15" eb="16">
      <t>ゴ</t>
    </rPh>
    <phoneticPr fontId="4"/>
  </si>
  <si>
    <t>購入件数</t>
    <rPh sb="0" eb="2">
      <t>コウニュウ</t>
    </rPh>
    <rPh sb="2" eb="4">
      <t>ケンスウ</t>
    </rPh>
    <phoneticPr fontId="4"/>
  </si>
  <si>
    <t>件</t>
    <rPh sb="0" eb="1">
      <t>ケン</t>
    </rPh>
    <phoneticPr fontId="4"/>
  </si>
  <si>
    <t>霊数</t>
    <rPh sb="0" eb="1">
      <t>レイ</t>
    </rPh>
    <rPh sb="1" eb="2">
      <t>スウ</t>
    </rPh>
    <phoneticPr fontId="4"/>
  </si>
  <si>
    <t>商品収支（葬儀部分）</t>
    <rPh sb="0" eb="2">
      <t>ショウヒン</t>
    </rPh>
    <rPh sb="2" eb="4">
      <t>シュウシ</t>
    </rPh>
    <rPh sb="5" eb="7">
      <t>ソウギ</t>
    </rPh>
    <rPh sb="7" eb="9">
      <t>ブブン</t>
    </rPh>
    <phoneticPr fontId="4"/>
  </si>
  <si>
    <t>ポテンシャル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</si>
</sst>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
    <numFmt numFmtId="177" formatCode="#,##0_ ;[Red]\-#,##0\ "/>
    <numFmt numFmtId="178" formatCode="0_);\(0\)"/>
    <numFmt numFmtId="179" formatCode="#,##0_);[Red]\(#,##0\)"/>
    <numFmt numFmtId="180" formatCode="#,##0_ "/>
    <numFmt numFmtId="181" formatCode="0.0_ "/>
  </numFmts>
  <fonts count="3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8"/>
      <name val="HGS創英角ｺﾞｼｯｸUB"/>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name val="ＭＳ Ｐゴシック"/>
      <family val="3"/>
      <charset val="128"/>
    </font>
    <font>
      <sz val="8"/>
      <name val="ＭＳ Ｐゴシック"/>
      <family val="3"/>
      <charset val="128"/>
    </font>
    <font>
      <sz val="11"/>
      <name val="ＭＳ Ｐゴシック"/>
      <family val="2"/>
      <charset val="128"/>
    </font>
    <font>
      <sz val="10"/>
      <name val="ＭＳ Ｐゴシック"/>
      <family val="2"/>
      <charset val="128"/>
    </font>
    <font>
      <sz val="6"/>
      <name val="ＭＳ Ｐゴシック"/>
      <family val="2"/>
      <charset val="128"/>
    </font>
    <font>
      <i/>
      <sz val="10"/>
      <name val="ＭＳ Ｐゴシック"/>
      <family val="3"/>
      <charset val="128"/>
    </font>
    <font>
      <sz val="10"/>
      <color rgb="FFFF0000"/>
      <name val="ＭＳ Ｐゴシック"/>
      <family val="2"/>
      <charset val="128"/>
    </font>
    <font>
      <sz val="11"/>
      <color rgb="FFFF0000"/>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scheme val="minor"/>
    </font>
    <font>
      <sz val="12"/>
      <color rgb="FFFF0000"/>
      <name val="ＭＳ Ｐゴシック"/>
      <family val="2"/>
      <charset val="128"/>
      <scheme val="minor"/>
    </font>
    <font>
      <sz val="12"/>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10"/>
      <color theme="1"/>
      <name val="HGPｺﾞｼｯｸM"/>
      <family val="3"/>
      <charset val="128"/>
    </font>
    <font>
      <sz val="8"/>
      <color theme="1"/>
      <name val="HGPｺﾞｼｯｸM"/>
      <family val="3"/>
      <charset val="128"/>
    </font>
    <font>
      <u/>
      <sz val="11"/>
      <color theme="10"/>
      <name val="HGPｺﾞｼｯｸM"/>
      <family val="3"/>
      <charset val="128"/>
    </font>
    <font>
      <sz val="11"/>
      <color theme="1"/>
      <name val="HGPｺﾞｼｯｸM"/>
      <family val="3"/>
      <charset val="128"/>
    </font>
    <font>
      <b/>
      <sz val="8"/>
      <color theme="1"/>
      <name val="HGPｺﾞｼｯｸM"/>
      <family val="3"/>
      <charset val="128"/>
    </font>
    <font>
      <sz val="10"/>
      <color rgb="FF0070C0"/>
      <name val="HGPｺﾞｼｯｸM"/>
      <family val="3"/>
      <charset val="128"/>
    </font>
    <font>
      <sz val="12"/>
      <color rgb="FF0070C0"/>
      <name val="HGPｺﾞｼｯｸM"/>
      <family val="3"/>
      <charset val="128"/>
    </font>
    <font>
      <sz val="10"/>
      <color theme="1"/>
      <name val="ＭＳ Ｐゴシック"/>
      <family val="2"/>
      <charset val="128"/>
      <scheme val="minor"/>
    </font>
    <font>
      <sz val="10"/>
      <color theme="1"/>
      <name val="ＭＳ Ｐゴシック"/>
      <family val="3"/>
      <charset val="128"/>
      <scheme val="minor"/>
    </font>
    <font>
      <sz val="10"/>
      <color rgb="FF0070C0"/>
      <name val="ＭＳ Ｐゴシック"/>
      <family val="2"/>
      <charset val="128"/>
      <scheme val="minor"/>
    </font>
    <font>
      <b/>
      <sz val="8"/>
      <color theme="1"/>
      <name val="ＭＳ Ｐゴシック"/>
      <family val="3"/>
      <charset val="128"/>
      <scheme val="minor"/>
    </font>
    <font>
      <b/>
      <sz val="10"/>
      <color theme="1"/>
      <name val="HGPｺﾞｼｯｸM"/>
      <family val="3"/>
      <charset val="128"/>
    </font>
  </fonts>
  <fills count="14">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5" tint="0.79998168889431442"/>
        <bgColor indexed="64"/>
      </patternFill>
    </fill>
  </fills>
  <borders count="4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hair">
        <color theme="0" tint="-0.499984740745262"/>
      </top>
      <bottom style="hair">
        <color theme="0" tint="-0.499984740745262"/>
      </bottom>
      <diagonal/>
    </border>
    <border>
      <left/>
      <right/>
      <top style="dotted">
        <color theme="0" tint="-0.499984740745262"/>
      </top>
      <bottom style="dotted">
        <color theme="0" tint="-0.499984740745262"/>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6" fillId="3" borderId="0" applyNumberFormat="0" applyBorder="0" applyAlignment="0" applyProtection="0">
      <alignment vertical="center"/>
    </xf>
    <xf numFmtId="0" fontId="6" fillId="2" borderId="0" applyNumberFormat="0" applyBorder="0" applyAlignment="0" applyProtection="0">
      <alignment vertical="center"/>
    </xf>
    <xf numFmtId="9" fontId="2" fillId="0" borderId="0" applyFont="0" applyFill="0" applyBorder="0" applyAlignment="0" applyProtection="0"/>
    <xf numFmtId="6" fontId="2" fillId="0" borderId="0" applyFont="0" applyFill="0" applyBorder="0" applyAlignment="0" applyProtection="0"/>
    <xf numFmtId="38" fontId="2" fillId="0" borderId="0" applyFont="0" applyFill="0" applyBorder="0" applyAlignment="0" applyProtection="0"/>
    <xf numFmtId="0" fontId="9" fillId="0" borderId="0"/>
    <xf numFmtId="38" fontId="9" fillId="0" borderId="0" applyFont="0" applyFill="0" applyBorder="0" applyAlignment="0" applyProtection="0"/>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50">
    <xf numFmtId="0" fontId="0" fillId="0" borderId="0" xfId="0">
      <alignment vertical="center"/>
    </xf>
    <xf numFmtId="0" fontId="3" fillId="0" borderId="0" xfId="2" applyFont="1" applyAlignment="1">
      <alignment vertical="center"/>
    </xf>
    <xf numFmtId="0" fontId="2" fillId="0" borderId="0" xfId="2"/>
    <xf numFmtId="0" fontId="2" fillId="0" borderId="6" xfId="2" applyBorder="1" applyAlignment="1">
      <alignment vertical="center"/>
    </xf>
    <xf numFmtId="0" fontId="6" fillId="6" borderId="10" xfId="3" applyFont="1" applyFill="1" applyBorder="1" applyAlignment="1">
      <alignment horizontal="center" vertical="center" wrapText="1"/>
    </xf>
    <xf numFmtId="0" fontId="6" fillId="6" borderId="11" xfId="3" applyFont="1" applyFill="1" applyBorder="1" applyAlignment="1">
      <alignment horizontal="center" vertical="center"/>
    </xf>
    <xf numFmtId="0" fontId="7" fillId="9" borderId="12" xfId="2" applyFont="1" applyFill="1" applyBorder="1" applyAlignment="1">
      <alignment horizontal="center" vertical="center"/>
    </xf>
    <xf numFmtId="0" fontId="7" fillId="0" borderId="0" xfId="2" applyFont="1" applyFill="1" applyBorder="1" applyAlignment="1">
      <alignment horizontal="center"/>
    </xf>
    <xf numFmtId="38" fontId="0" fillId="0" borderId="13" xfId="1" applyFont="1" applyBorder="1">
      <alignment vertical="center"/>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12" xfId="3" applyFont="1" applyFill="1" applyBorder="1" applyAlignment="1">
      <alignment horizontal="right" vertical="center" wrapText="1"/>
    </xf>
    <xf numFmtId="0" fontId="6" fillId="0" borderId="12" xfId="3" applyFont="1" applyFill="1" applyBorder="1" applyAlignment="1">
      <alignment horizontal="center" vertical="center"/>
    </xf>
    <xf numFmtId="38" fontId="0" fillId="0" borderId="17" xfId="1" applyFont="1" applyBorder="1">
      <alignment vertical="center"/>
    </xf>
    <xf numFmtId="0" fontId="6" fillId="0" borderId="18" xfId="3" applyFont="1" applyFill="1" applyBorder="1" applyAlignment="1">
      <alignment horizontal="center" vertical="center"/>
    </xf>
    <xf numFmtId="0" fontId="6" fillId="0" borderId="19" xfId="3" applyFont="1" applyFill="1" applyBorder="1" applyAlignment="1">
      <alignment horizontal="center" vertical="center"/>
    </xf>
    <xf numFmtId="6" fontId="6" fillId="0" borderId="18" xfId="3" applyNumberFormat="1" applyFont="1" applyFill="1" applyBorder="1" applyAlignment="1">
      <alignment horizontal="center" vertical="center"/>
    </xf>
    <xf numFmtId="6" fontId="6" fillId="0" borderId="19" xfId="4" applyNumberFormat="1" applyFont="1" applyFill="1" applyBorder="1" applyAlignment="1">
      <alignment vertical="center"/>
    </xf>
    <xf numFmtId="38" fontId="2" fillId="0" borderId="12" xfId="2" applyNumberFormat="1" applyFont="1" applyBorder="1" applyAlignment="1">
      <alignment vertical="center"/>
    </xf>
    <xf numFmtId="176" fontId="2" fillId="0" borderId="12" xfId="5" applyNumberFormat="1" applyFont="1" applyFill="1" applyBorder="1" applyAlignment="1">
      <alignment horizontal="center" vertical="center"/>
    </xf>
    <xf numFmtId="0" fontId="2" fillId="0" borderId="12" xfId="2" applyFont="1" applyBorder="1" applyAlignment="1">
      <alignment vertical="center"/>
    </xf>
    <xf numFmtId="0" fontId="2" fillId="0" borderId="0" xfId="2" applyBorder="1"/>
    <xf numFmtId="38" fontId="0" fillId="0" borderId="20" xfId="1" applyFont="1" applyBorder="1">
      <alignment vertical="center"/>
    </xf>
    <xf numFmtId="6" fontId="6" fillId="0" borderId="21" xfId="3" applyNumberFormat="1" applyFont="1" applyFill="1" applyBorder="1" applyAlignment="1">
      <alignment horizontal="center" vertical="center"/>
    </xf>
    <xf numFmtId="6" fontId="6" fillId="0" borderId="22" xfId="4" applyNumberFormat="1" applyFont="1" applyFill="1" applyBorder="1" applyAlignment="1">
      <alignment vertical="center"/>
    </xf>
    <xf numFmtId="6" fontId="2" fillId="9" borderId="12" xfId="6" applyFill="1" applyBorder="1" applyAlignment="1">
      <alignment horizontal="center" vertical="center"/>
    </xf>
    <xf numFmtId="38" fontId="2" fillId="9" borderId="16" xfId="7" applyFill="1" applyBorder="1" applyAlignment="1">
      <alignment horizontal="centerContinuous" vertical="center"/>
    </xf>
    <xf numFmtId="38" fontId="2" fillId="9" borderId="6" xfId="7" applyFill="1" applyBorder="1" applyAlignment="1">
      <alignment horizontal="centerContinuous" vertical="center"/>
    </xf>
    <xf numFmtId="0" fontId="2" fillId="9" borderId="12" xfId="2" applyFill="1" applyBorder="1" applyAlignment="1">
      <alignment horizontal="centerContinuous" vertical="center"/>
    </xf>
    <xf numFmtId="0" fontId="8" fillId="0" borderId="0" xfId="2" applyFont="1" applyBorder="1" applyAlignment="1">
      <alignment horizontal="right"/>
    </xf>
    <xf numFmtId="0" fontId="2" fillId="9" borderId="16" xfId="2" applyFill="1" applyBorder="1" applyAlignment="1">
      <alignment horizontal="centerContinuous" vertical="center"/>
    </xf>
    <xf numFmtId="6" fontId="2" fillId="0" borderId="0" xfId="6" applyBorder="1"/>
    <xf numFmtId="0" fontId="2" fillId="9" borderId="5" xfId="2" applyFill="1" applyBorder="1" applyAlignment="1">
      <alignment horizontal="centerContinuous" vertical="center"/>
    </xf>
    <xf numFmtId="0" fontId="6" fillId="6" borderId="29" xfId="3" applyFont="1" applyFill="1" applyBorder="1" applyAlignment="1">
      <alignment horizontal="center" vertical="center" wrapText="1"/>
    </xf>
    <xf numFmtId="0" fontId="10" fillId="11" borderId="12" xfId="8" applyNumberFormat="1" applyFont="1" applyFill="1" applyBorder="1" applyAlignment="1">
      <alignment horizontal="center"/>
    </xf>
    <xf numFmtId="0" fontId="9" fillId="0" borderId="0" xfId="8" applyAlignment="1">
      <alignment horizontal="center"/>
    </xf>
    <xf numFmtId="0" fontId="9" fillId="0" borderId="0" xfId="8"/>
    <xf numFmtId="0" fontId="10" fillId="0" borderId="12" xfId="8" applyNumberFormat="1" applyFont="1" applyBorder="1" applyAlignment="1">
      <alignment horizontal="center"/>
    </xf>
    <xf numFmtId="0" fontId="10" fillId="0" borderId="12" xfId="8" applyFont="1" applyBorder="1" applyAlignment="1">
      <alignment horizontal="center"/>
    </xf>
    <xf numFmtId="177" fontId="10" fillId="0" borderId="12" xfId="9" applyNumberFormat="1" applyFont="1" applyBorder="1" applyAlignment="1">
      <alignment horizontal="center"/>
    </xf>
    <xf numFmtId="38" fontId="10" fillId="0" borderId="12" xfId="9" applyFont="1" applyBorder="1" applyAlignment="1">
      <alignment horizontal="center"/>
    </xf>
    <xf numFmtId="0" fontId="10" fillId="0" borderId="12" xfId="8" applyNumberFormat="1" applyFont="1" applyFill="1" applyBorder="1" applyAlignment="1">
      <alignment horizontal="center"/>
    </xf>
    <xf numFmtId="0" fontId="10" fillId="0" borderId="12" xfId="8" applyNumberFormat="1" applyFont="1" applyBorder="1" applyAlignment="1">
      <alignment horizontal="center" vertical="center" wrapText="1"/>
    </xf>
    <xf numFmtId="177" fontId="9" fillId="0" borderId="0" xfId="8" applyNumberFormat="1" applyAlignment="1">
      <alignment horizontal="center"/>
    </xf>
    <xf numFmtId="0" fontId="10" fillId="10" borderId="12" xfId="8" applyNumberFormat="1" applyFont="1" applyFill="1" applyBorder="1" applyAlignment="1">
      <alignment horizontal="center"/>
    </xf>
    <xf numFmtId="177" fontId="10" fillId="10" borderId="12" xfId="9" applyNumberFormat="1" applyFont="1" applyFill="1" applyBorder="1" applyAlignment="1">
      <alignment horizontal="center"/>
    </xf>
    <xf numFmtId="0" fontId="10" fillId="10" borderId="12" xfId="8" applyFont="1" applyFill="1" applyBorder="1" applyAlignment="1">
      <alignment horizontal="center"/>
    </xf>
    <xf numFmtId="0" fontId="9" fillId="10" borderId="0" xfId="8" applyFill="1" applyAlignment="1">
      <alignment horizontal="center"/>
    </xf>
    <xf numFmtId="177" fontId="9" fillId="10" borderId="0" xfId="8" applyNumberFormat="1" applyFill="1" applyAlignment="1">
      <alignment horizontal="center"/>
    </xf>
    <xf numFmtId="0" fontId="9" fillId="10" borderId="0" xfId="8" applyFill="1"/>
    <xf numFmtId="0" fontId="9" fillId="0" borderId="0" xfId="8" applyNumberFormat="1" applyAlignment="1">
      <alignment horizontal="center"/>
    </xf>
    <xf numFmtId="177" fontId="9" fillId="0" borderId="0" xfId="9" applyNumberFormat="1" applyAlignment="1">
      <alignment horizontal="center"/>
    </xf>
    <xf numFmtId="38" fontId="9" fillId="0" borderId="0" xfId="9" applyAlignment="1">
      <alignment horizontal="center"/>
    </xf>
    <xf numFmtId="38" fontId="9" fillId="0" borderId="0" xfId="8" applyNumberFormat="1" applyAlignment="1">
      <alignment horizontal="center"/>
    </xf>
    <xf numFmtId="0" fontId="10" fillId="0" borderId="0" xfId="8" applyNumberFormat="1" applyFont="1" applyFill="1" applyAlignment="1">
      <alignment horizontal="center"/>
    </xf>
    <xf numFmtId="0" fontId="9" fillId="0" borderId="0" xfId="8" applyAlignment="1"/>
    <xf numFmtId="177" fontId="10" fillId="0" borderId="34" xfId="9" applyNumberFormat="1" applyFont="1" applyBorder="1" applyAlignment="1">
      <alignment horizontal="center"/>
    </xf>
    <xf numFmtId="179" fontId="10" fillId="0" borderId="12" xfId="9" applyNumberFormat="1" applyFont="1" applyBorder="1" applyAlignment="1">
      <alignment horizontal="center"/>
    </xf>
    <xf numFmtId="179" fontId="10" fillId="0" borderId="34" xfId="9" applyNumberFormat="1" applyFont="1" applyBorder="1" applyAlignment="1">
      <alignment horizontal="center"/>
    </xf>
    <xf numFmtId="179" fontId="7" fillId="0" borderId="34" xfId="9" applyNumberFormat="1" applyFont="1" applyBorder="1" applyAlignment="1">
      <alignment horizontal="center"/>
    </xf>
    <xf numFmtId="177" fontId="7" fillId="0" borderId="12" xfId="9" applyNumberFormat="1" applyFont="1" applyBorder="1" applyAlignment="1">
      <alignment horizontal="center"/>
    </xf>
    <xf numFmtId="177" fontId="7" fillId="10" borderId="12" xfId="9" applyNumberFormat="1" applyFont="1" applyFill="1" applyBorder="1" applyAlignment="1">
      <alignment horizontal="center"/>
    </xf>
    <xf numFmtId="177" fontId="2" fillId="0" borderId="0" xfId="9" applyNumberFormat="1" applyFont="1" applyAlignment="1">
      <alignment horizontal="center"/>
    </xf>
    <xf numFmtId="0" fontId="2" fillId="0" borderId="0" xfId="8" applyFont="1" applyAlignment="1"/>
    <xf numFmtId="179" fontId="10" fillId="6" borderId="12" xfId="9" applyNumberFormat="1" applyFont="1" applyFill="1" applyBorder="1" applyAlignment="1">
      <alignment horizontal="center"/>
    </xf>
    <xf numFmtId="179" fontId="9" fillId="0" borderId="12" xfId="8" applyNumberFormat="1" applyBorder="1" applyAlignment="1"/>
    <xf numFmtId="0" fontId="10" fillId="0" borderId="12" xfId="8" quotePrefix="1" applyFont="1" applyBorder="1" applyAlignment="1">
      <alignment horizontal="center"/>
    </xf>
    <xf numFmtId="177" fontId="10" fillId="0" borderId="12" xfId="9" applyNumberFormat="1" applyFont="1" applyFill="1" applyBorder="1" applyAlignment="1">
      <alignment horizontal="center"/>
    </xf>
    <xf numFmtId="179" fontId="9" fillId="0" borderId="12" xfId="8" applyNumberFormat="1" applyFill="1" applyBorder="1" applyAlignment="1"/>
    <xf numFmtId="177" fontId="10" fillId="0" borderId="12" xfId="9" applyNumberFormat="1" applyFont="1" applyFill="1" applyBorder="1" applyAlignment="1"/>
    <xf numFmtId="179" fontId="10" fillId="0" borderId="34" xfId="8" applyNumberFormat="1" applyFont="1" applyBorder="1" applyAlignment="1">
      <alignment horizontal="center"/>
    </xf>
    <xf numFmtId="177" fontId="7" fillId="0" borderId="34" xfId="9" applyNumberFormat="1" applyFont="1" applyBorder="1" applyAlignment="1">
      <alignment horizontal="center"/>
    </xf>
    <xf numFmtId="177" fontId="7" fillId="10" borderId="34" xfId="9" applyNumberFormat="1" applyFont="1" applyFill="1" applyBorder="1" applyAlignment="1">
      <alignment horizontal="center"/>
    </xf>
    <xf numFmtId="179" fontId="7" fillId="0" borderId="40" xfId="9" applyNumberFormat="1" applyFont="1" applyBorder="1" applyAlignment="1">
      <alignment horizontal="center"/>
    </xf>
    <xf numFmtId="179" fontId="7" fillId="0" borderId="16" xfId="9" applyNumberFormat="1" applyFont="1" applyBorder="1" applyAlignment="1">
      <alignment horizontal="center"/>
    </xf>
    <xf numFmtId="0" fontId="10" fillId="0" borderId="12" xfId="8" applyNumberFormat="1" applyFont="1" applyFill="1" applyBorder="1" applyAlignment="1">
      <alignment horizontal="left" wrapText="1"/>
    </xf>
    <xf numFmtId="0" fontId="10" fillId="10" borderId="12" xfId="8" applyNumberFormat="1" applyFont="1" applyFill="1" applyBorder="1" applyAlignment="1">
      <alignment horizontal="left" wrapText="1"/>
    </xf>
    <xf numFmtId="0" fontId="9" fillId="12" borderId="0" xfId="8" applyFill="1"/>
    <xf numFmtId="177" fontId="10" fillId="12" borderId="38" xfId="9" applyNumberFormat="1" applyFont="1" applyFill="1" applyBorder="1" applyAlignment="1">
      <alignment horizontal="center"/>
    </xf>
    <xf numFmtId="177" fontId="10" fillId="12" borderId="35" xfId="9" applyNumberFormat="1" applyFont="1" applyFill="1" applyBorder="1" applyAlignment="1">
      <alignment horizontal="center"/>
    </xf>
    <xf numFmtId="177" fontId="10" fillId="12" borderId="29" xfId="9" applyNumberFormat="1" applyFont="1" applyFill="1" applyBorder="1" applyAlignment="1">
      <alignment horizontal="center"/>
    </xf>
    <xf numFmtId="177" fontId="10" fillId="12" borderId="0" xfId="9" applyNumberFormat="1" applyFont="1" applyFill="1" applyBorder="1" applyAlignment="1">
      <alignment horizontal="center"/>
    </xf>
    <xf numFmtId="177" fontId="7" fillId="12" borderId="38" xfId="9" applyNumberFormat="1" applyFont="1" applyFill="1" applyBorder="1" applyAlignment="1">
      <alignment horizontal="center"/>
    </xf>
    <xf numFmtId="177" fontId="7" fillId="12" borderId="0" xfId="9" applyNumberFormat="1" applyFont="1" applyFill="1" applyBorder="1" applyAlignment="1">
      <alignment horizontal="center"/>
    </xf>
    <xf numFmtId="177" fontId="10" fillId="12" borderId="37" xfId="9" applyNumberFormat="1" applyFont="1" applyFill="1" applyBorder="1" applyAlignment="1">
      <alignment horizontal="center"/>
    </xf>
    <xf numFmtId="177" fontId="10" fillId="12" borderId="36" xfId="9" applyNumberFormat="1" applyFont="1" applyFill="1" applyBorder="1" applyAlignment="1"/>
    <xf numFmtId="177" fontId="10" fillId="12" borderId="36" xfId="9" applyNumberFormat="1" applyFont="1" applyFill="1" applyBorder="1" applyAlignment="1">
      <alignment horizontal="center"/>
    </xf>
    <xf numFmtId="177" fontId="12" fillId="12" borderId="35" xfId="9" applyNumberFormat="1" applyFont="1" applyFill="1" applyBorder="1" applyAlignment="1">
      <alignment horizontal="center"/>
    </xf>
    <xf numFmtId="177" fontId="12" fillId="12" borderId="37" xfId="9" applyNumberFormat="1" applyFont="1" applyFill="1" applyBorder="1" applyAlignment="1">
      <alignment horizontal="center"/>
    </xf>
    <xf numFmtId="177" fontId="7" fillId="12" borderId="37" xfId="9" applyNumberFormat="1" applyFont="1" applyFill="1" applyBorder="1" applyAlignment="1">
      <alignment horizontal="center"/>
    </xf>
    <xf numFmtId="177" fontId="7" fillId="12" borderId="29" xfId="9" applyNumberFormat="1" applyFont="1" applyFill="1" applyBorder="1" applyAlignment="1">
      <alignment horizontal="center"/>
    </xf>
    <xf numFmtId="177" fontId="12" fillId="12" borderId="0" xfId="9" applyNumberFormat="1" applyFont="1" applyFill="1" applyBorder="1" applyAlignment="1">
      <alignment horizontal="center"/>
    </xf>
    <xf numFmtId="177" fontId="10" fillId="12" borderId="4" xfId="9" applyNumberFormat="1" applyFont="1" applyFill="1" applyBorder="1" applyAlignment="1">
      <alignment horizontal="center"/>
    </xf>
    <xf numFmtId="177" fontId="10" fillId="12" borderId="34" xfId="9" applyNumberFormat="1" applyFont="1" applyFill="1" applyBorder="1" applyAlignment="1"/>
    <xf numFmtId="177" fontId="10" fillId="12" borderId="16" xfId="9" applyNumberFormat="1" applyFont="1" applyFill="1" applyBorder="1" applyAlignment="1">
      <alignment horizontal="center"/>
    </xf>
    <xf numFmtId="177" fontId="10" fillId="12" borderId="40" xfId="9" applyNumberFormat="1" applyFont="1" applyFill="1" applyBorder="1" applyAlignment="1">
      <alignment horizontal="center"/>
    </xf>
    <xf numFmtId="177" fontId="10" fillId="12" borderId="6" xfId="9" applyNumberFormat="1" applyFont="1" applyFill="1" applyBorder="1" applyAlignment="1">
      <alignment horizontal="center"/>
    </xf>
    <xf numFmtId="177" fontId="7" fillId="12" borderId="35" xfId="9" applyNumberFormat="1" applyFont="1" applyFill="1" applyBorder="1" applyAlignment="1">
      <alignment horizontal="center"/>
    </xf>
    <xf numFmtId="0" fontId="10" fillId="12" borderId="12" xfId="8" applyNumberFormat="1" applyFont="1" applyFill="1" applyBorder="1" applyAlignment="1">
      <alignment horizontal="center"/>
    </xf>
    <xf numFmtId="179" fontId="13" fillId="12" borderId="37" xfId="8" applyNumberFormat="1" applyFont="1" applyFill="1" applyBorder="1" applyAlignment="1">
      <alignment horizontal="center"/>
    </xf>
    <xf numFmtId="38" fontId="10" fillId="12" borderId="12" xfId="9" applyFont="1" applyFill="1" applyBorder="1" applyAlignment="1">
      <alignment horizontal="center"/>
    </xf>
    <xf numFmtId="178" fontId="10" fillId="12" borderId="12" xfId="8" applyNumberFormat="1" applyFont="1" applyFill="1" applyBorder="1" applyAlignment="1">
      <alignment horizontal="center"/>
    </xf>
    <xf numFmtId="0" fontId="10" fillId="12" borderId="12" xfId="8" applyNumberFormat="1" applyFont="1" applyFill="1" applyBorder="1" applyAlignment="1">
      <alignment horizontal="center" wrapText="1"/>
    </xf>
    <xf numFmtId="0" fontId="9" fillId="12" borderId="41" xfId="8" applyFill="1" applyBorder="1"/>
    <xf numFmtId="0" fontId="9" fillId="12" borderId="36" xfId="8" applyFill="1" applyBorder="1"/>
    <xf numFmtId="177" fontId="10" fillId="12" borderId="34" xfId="9" applyNumberFormat="1" applyFont="1" applyFill="1" applyBorder="1" applyAlignment="1">
      <alignment horizontal="center"/>
    </xf>
    <xf numFmtId="177" fontId="10" fillId="12" borderId="16" xfId="9" applyNumberFormat="1" applyFont="1" applyFill="1" applyBorder="1" applyAlignment="1"/>
    <xf numFmtId="0" fontId="9" fillId="12" borderId="37" xfId="8" applyFill="1" applyBorder="1"/>
    <xf numFmtId="177" fontId="10" fillId="12" borderId="39" xfId="9" applyNumberFormat="1" applyFont="1" applyFill="1" applyBorder="1" applyAlignment="1">
      <alignment horizontal="center"/>
    </xf>
    <xf numFmtId="177" fontId="10" fillId="12" borderId="33" xfId="9" applyNumberFormat="1" applyFont="1" applyFill="1" applyBorder="1" applyAlignment="1">
      <alignment horizontal="center"/>
    </xf>
    <xf numFmtId="177" fontId="7" fillId="12" borderId="33" xfId="9" applyNumberFormat="1" applyFont="1" applyFill="1" applyBorder="1" applyAlignment="1">
      <alignment horizontal="center"/>
    </xf>
    <xf numFmtId="177" fontId="12" fillId="12" borderId="33" xfId="9" applyNumberFormat="1" applyFont="1" applyFill="1" applyBorder="1" applyAlignment="1">
      <alignment horizontal="center"/>
    </xf>
    <xf numFmtId="177" fontId="12" fillId="12" borderId="38" xfId="9" applyNumberFormat="1" applyFont="1" applyFill="1" applyBorder="1" applyAlignment="1">
      <alignment horizontal="left"/>
    </xf>
    <xf numFmtId="177" fontId="12" fillId="12" borderId="36" xfId="9" applyNumberFormat="1" applyFont="1" applyFill="1" applyBorder="1" applyAlignment="1">
      <alignment horizontal="center"/>
    </xf>
    <xf numFmtId="177" fontId="7" fillId="12" borderId="40" xfId="9" applyNumberFormat="1" applyFont="1" applyFill="1" applyBorder="1" applyAlignment="1">
      <alignment horizontal="center"/>
    </xf>
    <xf numFmtId="177" fontId="7" fillId="12" borderId="16" xfId="9" applyNumberFormat="1" applyFont="1" applyFill="1" applyBorder="1" applyAlignment="1">
      <alignment horizontal="center"/>
    </xf>
    <xf numFmtId="177" fontId="7" fillId="12" borderId="34" xfId="9" applyNumberFormat="1" applyFont="1" applyFill="1" applyBorder="1" applyAlignment="1">
      <alignment horizontal="center"/>
    </xf>
    <xf numFmtId="177" fontId="7" fillId="12" borderId="5" xfId="9" applyNumberFormat="1" applyFont="1" applyFill="1" applyBorder="1" applyAlignment="1">
      <alignment horizontal="center"/>
    </xf>
    <xf numFmtId="177" fontId="7" fillId="12" borderId="4" xfId="9" applyNumberFormat="1" applyFont="1" applyFill="1" applyBorder="1" applyAlignment="1">
      <alignment horizontal="center"/>
    </xf>
    <xf numFmtId="0" fontId="10" fillId="12" borderId="16" xfId="8" applyNumberFormat="1" applyFont="1" applyFill="1" applyBorder="1" applyAlignment="1">
      <alignment horizontal="center"/>
    </xf>
    <xf numFmtId="0" fontId="9" fillId="0" borderId="12" xfId="8" applyBorder="1"/>
    <xf numFmtId="0" fontId="9" fillId="0" borderId="12" xfId="8" applyBorder="1" applyAlignment="1"/>
    <xf numFmtId="177" fontId="10" fillId="0" borderId="12" xfId="9" applyNumberFormat="1" applyFont="1" applyFill="1" applyBorder="1" applyAlignment="1">
      <alignment horizontal="left"/>
    </xf>
    <xf numFmtId="0" fontId="9" fillId="0" borderId="12" xfId="8" applyBorder="1" applyAlignment="1">
      <alignment horizontal="right"/>
    </xf>
    <xf numFmtId="177" fontId="10" fillId="0" borderId="12" xfId="9" applyNumberFormat="1" applyFont="1" applyFill="1" applyBorder="1" applyAlignment="1">
      <alignment horizontal="right"/>
    </xf>
    <xf numFmtId="0" fontId="0" fillId="0" borderId="12" xfId="0" applyBorder="1">
      <alignment vertical="center"/>
    </xf>
    <xf numFmtId="0" fontId="0" fillId="0" borderId="0" xfId="0" applyAlignment="1">
      <alignment horizontal="right" vertical="center"/>
    </xf>
    <xf numFmtId="0" fontId="14" fillId="0" borderId="12" xfId="0" applyFont="1" applyBorder="1">
      <alignment vertical="center"/>
    </xf>
    <xf numFmtId="0" fontId="0" fillId="0" borderId="12" xfId="0" applyBorder="1" applyAlignment="1">
      <alignment horizontal="left" vertical="center"/>
    </xf>
    <xf numFmtId="0" fontId="0" fillId="0" borderId="12" xfId="0" applyBorder="1" applyAlignment="1">
      <alignment vertical="center" wrapText="1"/>
    </xf>
    <xf numFmtId="0" fontId="14" fillId="0" borderId="12" xfId="0" applyFont="1" applyBorder="1" applyAlignment="1">
      <alignment vertical="center" wrapText="1"/>
    </xf>
    <xf numFmtId="0" fontId="0" fillId="0" borderId="0" xfId="0" quotePrefix="1">
      <alignment vertical="center"/>
    </xf>
    <xf numFmtId="0" fontId="20" fillId="0" borderId="0" xfId="0" applyFont="1">
      <alignment vertical="center"/>
    </xf>
    <xf numFmtId="0" fontId="17" fillId="0" borderId="12" xfId="0" applyFont="1" applyBorder="1" applyAlignment="1">
      <alignment vertical="center" wrapText="1"/>
    </xf>
    <xf numFmtId="0" fontId="0" fillId="12" borderId="12" xfId="0" applyFill="1" applyBorder="1" applyAlignment="1">
      <alignment horizontal="left" vertical="center"/>
    </xf>
    <xf numFmtId="0" fontId="22" fillId="12" borderId="12" xfId="0" applyFont="1" applyFill="1" applyBorder="1" applyAlignment="1">
      <alignment horizontal="left" vertical="center"/>
    </xf>
    <xf numFmtId="0" fontId="9" fillId="10" borderId="12" xfId="8" applyFill="1" applyBorder="1" applyAlignment="1">
      <alignment horizontal="center"/>
    </xf>
    <xf numFmtId="0" fontId="10" fillId="0" borderId="0" xfId="8" applyNumberFormat="1" applyFont="1" applyBorder="1" applyAlignment="1">
      <alignment horizontal="center"/>
    </xf>
    <xf numFmtId="177" fontId="9" fillId="10" borderId="12" xfId="8" applyNumberFormat="1" applyFill="1" applyBorder="1" applyAlignment="1">
      <alignment horizontal="center"/>
    </xf>
    <xf numFmtId="0" fontId="10" fillId="0" borderId="0" xfId="8" applyNumberFormat="1" applyFont="1" applyBorder="1" applyAlignment="1">
      <alignment horizontal="center" vertical="center" wrapText="1"/>
    </xf>
    <xf numFmtId="0" fontId="0" fillId="0" borderId="33" xfId="0" applyBorder="1">
      <alignment vertical="center"/>
    </xf>
    <xf numFmtId="179" fontId="7" fillId="0" borderId="12" xfId="9" applyNumberFormat="1" applyFont="1" applyBorder="1" applyAlignment="1">
      <alignment horizontal="center"/>
    </xf>
    <xf numFmtId="0" fontId="9" fillId="0" borderId="0" xfId="8" applyBorder="1"/>
    <xf numFmtId="0" fontId="9" fillId="0" borderId="0" xfId="8" applyBorder="1" applyAlignment="1">
      <alignment horizontal="center"/>
    </xf>
    <xf numFmtId="0" fontId="9" fillId="10" borderId="0" xfId="8" applyFill="1" applyBorder="1" applyAlignment="1">
      <alignment horizontal="center"/>
    </xf>
    <xf numFmtId="177" fontId="9" fillId="10" borderId="0" xfId="8" applyNumberFormat="1" applyFill="1" applyBorder="1" applyAlignment="1">
      <alignment horizontal="center"/>
    </xf>
    <xf numFmtId="179" fontId="10" fillId="0" borderId="12" xfId="8" applyNumberFormat="1" applyFont="1" applyBorder="1" applyAlignment="1">
      <alignment horizontal="right"/>
    </xf>
    <xf numFmtId="179" fontId="0" fillId="0" borderId="12" xfId="0" applyNumberFormat="1" applyBorder="1" applyAlignment="1">
      <alignment horizontal="right" vertical="center"/>
    </xf>
    <xf numFmtId="179" fontId="0" fillId="0" borderId="0" xfId="0" applyNumberFormat="1" applyAlignment="1">
      <alignment horizontal="right" vertical="center"/>
    </xf>
    <xf numFmtId="0" fontId="0" fillId="0" borderId="33" xfId="0" applyBorder="1" applyAlignment="1">
      <alignment horizontal="right"/>
    </xf>
    <xf numFmtId="0" fontId="0" fillId="0" borderId="36" xfId="0" applyFill="1" applyBorder="1">
      <alignment vertical="center"/>
    </xf>
    <xf numFmtId="0" fontId="0" fillId="0" borderId="12" xfId="0" applyFill="1" applyBorder="1">
      <alignment vertical="center"/>
    </xf>
    <xf numFmtId="179" fontId="0" fillId="0" borderId="12" xfId="0" applyNumberFormat="1" applyFill="1" applyBorder="1" applyAlignment="1">
      <alignment horizontal="right" vertical="center"/>
    </xf>
    <xf numFmtId="0" fontId="0" fillId="0" borderId="0" xfId="0" applyFill="1">
      <alignment vertical="center"/>
    </xf>
    <xf numFmtId="177" fontId="9" fillId="0" borderId="0" xfId="8" applyNumberFormat="1" applyBorder="1" applyAlignment="1">
      <alignment horizontal="center"/>
    </xf>
    <xf numFmtId="0" fontId="9" fillId="10" borderId="0" xfId="8" applyFill="1" applyBorder="1"/>
    <xf numFmtId="0" fontId="0" fillId="0" borderId="33" xfId="0" applyBorder="1" applyAlignment="1">
      <alignment horizontal="left" vertical="center"/>
    </xf>
    <xf numFmtId="0" fontId="0" fillId="0" borderId="41" xfId="0" applyBorder="1">
      <alignment vertical="center"/>
    </xf>
    <xf numFmtId="0" fontId="0" fillId="0" borderId="34" xfId="0" applyBorder="1">
      <alignment vertical="center"/>
    </xf>
    <xf numFmtId="0" fontId="0" fillId="0" borderId="36" xfId="0" applyBorder="1">
      <alignment vertical="center"/>
    </xf>
    <xf numFmtId="0" fontId="0" fillId="0" borderId="41" xfId="0" applyFill="1" applyBorder="1">
      <alignment vertical="center"/>
    </xf>
    <xf numFmtId="179" fontId="0" fillId="0" borderId="41" xfId="0" applyNumberFormat="1" applyBorder="1" applyAlignment="1">
      <alignment horizontal="left" vertical="center"/>
    </xf>
    <xf numFmtId="179" fontId="0" fillId="0" borderId="36" xfId="0" applyNumberFormat="1" applyBorder="1" applyAlignment="1">
      <alignment horizontal="left" vertical="center"/>
    </xf>
    <xf numFmtId="179" fontId="0" fillId="0" borderId="34" xfId="0" applyNumberFormat="1" applyBorder="1" applyAlignment="1">
      <alignment horizontal="left" vertical="center"/>
    </xf>
    <xf numFmtId="179" fontId="0" fillId="0" borderId="41" xfId="0" applyNumberFormat="1" applyFill="1" applyBorder="1" applyAlignment="1">
      <alignment horizontal="left" vertical="center"/>
    </xf>
    <xf numFmtId="179" fontId="0" fillId="0" borderId="36" xfId="0" applyNumberFormat="1" applyFill="1" applyBorder="1" applyAlignment="1">
      <alignment horizontal="left" vertical="center"/>
    </xf>
    <xf numFmtId="0" fontId="24" fillId="0" borderId="0" xfId="0" applyFont="1">
      <alignment vertical="center"/>
    </xf>
    <xf numFmtId="0" fontId="25" fillId="0" borderId="0" xfId="0" applyFont="1">
      <alignment vertical="center"/>
    </xf>
    <xf numFmtId="0" fontId="24" fillId="0" borderId="42" xfId="0" applyFont="1" applyBorder="1">
      <alignment vertical="center"/>
    </xf>
    <xf numFmtId="0" fontId="26" fillId="0" borderId="42" xfId="11" applyFont="1" applyBorder="1">
      <alignment vertical="center"/>
    </xf>
    <xf numFmtId="0" fontId="27" fillId="0" borderId="12" xfId="0" applyFont="1" applyBorder="1" applyAlignment="1">
      <alignment horizontal="right" vertical="center"/>
    </xf>
    <xf numFmtId="0" fontId="27" fillId="0" borderId="12" xfId="0" applyFont="1" applyBorder="1">
      <alignment vertical="center"/>
    </xf>
    <xf numFmtId="0" fontId="28" fillId="0" borderId="0" xfId="0" applyFont="1">
      <alignment vertical="center"/>
    </xf>
    <xf numFmtId="0" fontId="0" fillId="0" borderId="0" xfId="0" applyBorder="1">
      <alignment vertical="center"/>
    </xf>
    <xf numFmtId="179" fontId="0" fillId="0" borderId="0" xfId="0" applyNumberFormat="1" applyBorder="1" applyAlignment="1">
      <alignment horizontal="right" vertical="center"/>
    </xf>
    <xf numFmtId="9" fontId="0" fillId="0" borderId="0" xfId="0" applyNumberFormat="1" applyBorder="1" applyAlignment="1">
      <alignment horizontal="left" vertical="center"/>
    </xf>
    <xf numFmtId="0" fontId="30" fillId="0" borderId="0" xfId="0" applyFont="1">
      <alignment vertical="center"/>
    </xf>
    <xf numFmtId="177" fontId="10" fillId="12" borderId="38" xfId="9" applyNumberFormat="1" applyFont="1" applyFill="1" applyBorder="1" applyAlignment="1"/>
    <xf numFmtId="177" fontId="10" fillId="12" borderId="0" xfId="9" applyNumberFormat="1" applyFont="1" applyFill="1" applyBorder="1" applyAlignment="1"/>
    <xf numFmtId="10" fontId="10" fillId="0" borderId="12" xfId="10" applyNumberFormat="1" applyFont="1" applyFill="1" applyBorder="1" applyAlignment="1">
      <alignment horizontal="center"/>
    </xf>
    <xf numFmtId="0" fontId="24" fillId="0" borderId="43" xfId="0" applyFont="1" applyBorder="1">
      <alignment vertical="center"/>
    </xf>
    <xf numFmtId="0" fontId="29" fillId="0" borderId="43" xfId="0" applyFont="1" applyBorder="1">
      <alignment vertical="center"/>
    </xf>
    <xf numFmtId="180" fontId="24" fillId="0" borderId="43" xfId="0" applyNumberFormat="1" applyFont="1" applyBorder="1">
      <alignment vertical="center"/>
    </xf>
    <xf numFmtId="9" fontId="24" fillId="0" borderId="43" xfId="0" applyNumberFormat="1" applyFont="1" applyBorder="1">
      <alignment vertical="center"/>
    </xf>
    <xf numFmtId="0" fontId="24" fillId="0" borderId="43" xfId="0" applyFont="1" applyBorder="1" applyAlignment="1">
      <alignment horizontal="left" vertical="center" indent="1"/>
    </xf>
    <xf numFmtId="9" fontId="29" fillId="0" borderId="43" xfId="0" applyNumberFormat="1" applyFont="1" applyBorder="1">
      <alignment vertical="center"/>
    </xf>
    <xf numFmtId="0" fontId="24" fillId="0" borderId="43" xfId="0" applyFont="1" applyBorder="1" applyAlignment="1">
      <alignment horizontal="left" vertical="center" indent="2"/>
    </xf>
    <xf numFmtId="0" fontId="28" fillId="0" borderId="43" xfId="0" applyFont="1" applyBorder="1">
      <alignment vertical="center"/>
    </xf>
    <xf numFmtId="0" fontId="24" fillId="0" borderId="43" xfId="0" applyFont="1" applyBorder="1" applyAlignment="1">
      <alignment horizontal="left" vertical="center"/>
    </xf>
    <xf numFmtId="0" fontId="31" fillId="0" borderId="0" xfId="0" applyFont="1">
      <alignment vertical="center"/>
    </xf>
    <xf numFmtId="0" fontId="33" fillId="0" borderId="0" xfId="0" applyFont="1">
      <alignment vertical="center"/>
    </xf>
    <xf numFmtId="0" fontId="34" fillId="0" borderId="0" xfId="0" applyFont="1">
      <alignment vertical="center"/>
    </xf>
    <xf numFmtId="0" fontId="31" fillId="0" borderId="43" xfId="0" applyFont="1" applyBorder="1">
      <alignment vertical="center"/>
    </xf>
    <xf numFmtId="0" fontId="32" fillId="0" borderId="43" xfId="0" quotePrefix="1" applyFont="1" applyBorder="1">
      <alignment vertical="center"/>
    </xf>
    <xf numFmtId="181" fontId="24" fillId="0" borderId="43" xfId="0" applyNumberFormat="1" applyFont="1" applyBorder="1">
      <alignment vertical="center"/>
    </xf>
    <xf numFmtId="2" fontId="24" fillId="0" borderId="43" xfId="0" applyNumberFormat="1" applyFont="1" applyBorder="1">
      <alignment vertical="center"/>
    </xf>
    <xf numFmtId="9" fontId="9" fillId="12" borderId="36" xfId="8" applyNumberFormat="1" applyFill="1" applyBorder="1"/>
    <xf numFmtId="0" fontId="29" fillId="6" borderId="43" xfId="0" applyFont="1" applyFill="1" applyBorder="1">
      <alignment vertical="center"/>
    </xf>
    <xf numFmtId="0" fontId="24" fillId="0" borderId="0" xfId="0" applyFont="1" applyAlignment="1">
      <alignment vertical="center" wrapText="1"/>
    </xf>
    <xf numFmtId="0" fontId="35" fillId="13" borderId="43" xfId="0" applyFont="1" applyFill="1" applyBorder="1">
      <alignment vertical="center"/>
    </xf>
    <xf numFmtId="180" fontId="35" fillId="13" borderId="43" xfId="0" applyNumberFormat="1" applyFont="1" applyFill="1" applyBorder="1">
      <alignment vertical="center"/>
    </xf>
    <xf numFmtId="10" fontId="24" fillId="0" borderId="43" xfId="10" applyNumberFormat="1" applyFont="1" applyBorder="1">
      <alignment vertical="center"/>
    </xf>
    <xf numFmtId="6" fontId="2" fillId="10" borderId="23" xfId="6" applyFont="1" applyFill="1" applyBorder="1" applyAlignment="1">
      <alignment horizontal="center" vertical="center"/>
    </xf>
    <xf numFmtId="6" fontId="2" fillId="10" borderId="24" xfId="6" applyFont="1" applyFill="1" applyBorder="1" applyAlignment="1">
      <alignment horizontal="center" vertical="center"/>
    </xf>
    <xf numFmtId="0" fontId="2" fillId="0" borderId="29"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6" fillId="4" borderId="26" xfId="3" applyFont="1" applyFill="1" applyBorder="1" applyAlignment="1">
      <alignment horizontal="center" vertical="center"/>
    </xf>
    <xf numFmtId="0" fontId="6" fillId="4" borderId="27" xfId="3" applyFont="1" applyFill="1" applyBorder="1" applyAlignment="1">
      <alignment horizontal="center" vertical="center"/>
    </xf>
    <xf numFmtId="0" fontId="6" fillId="4" borderId="28" xfId="3" applyFont="1" applyFill="1" applyBorder="1" applyAlignment="1">
      <alignment horizontal="center" vertical="center"/>
    </xf>
    <xf numFmtId="6" fontId="2" fillId="0" borderId="27" xfId="6" applyFont="1" applyBorder="1" applyAlignment="1">
      <alignment horizontal="center" vertical="center"/>
    </xf>
    <xf numFmtId="6" fontId="2" fillId="0" borderId="26" xfId="6" applyFont="1" applyBorder="1" applyAlignment="1">
      <alignment horizontal="center" vertical="center"/>
    </xf>
    <xf numFmtId="6" fontId="2" fillId="10" borderId="26" xfId="6" applyFont="1" applyFill="1" applyBorder="1" applyAlignment="1">
      <alignment horizontal="center" vertical="center"/>
    </xf>
    <xf numFmtId="6" fontId="2" fillId="10" borderId="27" xfId="6" applyFont="1" applyFill="1" applyBorder="1" applyAlignment="1">
      <alignment horizontal="center" vertical="center"/>
    </xf>
    <xf numFmtId="6" fontId="2" fillId="10" borderId="30" xfId="6" applyFont="1" applyFill="1" applyBorder="1" applyAlignment="1">
      <alignment horizontal="center" vertical="center"/>
    </xf>
    <xf numFmtId="6" fontId="2" fillId="10" borderId="31" xfId="6" applyFont="1" applyFill="1" applyBorder="1" applyAlignment="1">
      <alignment horizontal="center" vertical="center"/>
    </xf>
    <xf numFmtId="0" fontId="6" fillId="4" borderId="23" xfId="3" applyFont="1" applyFill="1" applyBorder="1" applyAlignment="1">
      <alignment horizontal="center" vertical="center"/>
    </xf>
    <xf numFmtId="0" fontId="6" fillId="4" borderId="24" xfId="3" applyFont="1" applyFill="1" applyBorder="1" applyAlignment="1">
      <alignment horizontal="center" vertical="center"/>
    </xf>
    <xf numFmtId="0" fontId="6" fillId="4" borderId="25" xfId="3" applyFont="1" applyFill="1" applyBorder="1" applyAlignment="1">
      <alignment horizontal="center" vertical="center"/>
    </xf>
    <xf numFmtId="6" fontId="2" fillId="0" borderId="24" xfId="6" applyFont="1" applyBorder="1" applyAlignment="1">
      <alignment horizontal="center" vertical="center"/>
    </xf>
    <xf numFmtId="0" fontId="6" fillId="4" borderId="30" xfId="3" applyFont="1" applyFill="1" applyBorder="1" applyAlignment="1">
      <alignment horizontal="center" vertical="center"/>
    </xf>
    <xf numFmtId="0" fontId="6" fillId="4" borderId="31" xfId="3" applyFont="1" applyFill="1" applyBorder="1" applyAlignment="1">
      <alignment horizontal="center" vertical="center"/>
    </xf>
    <xf numFmtId="0" fontId="6" fillId="4" borderId="32" xfId="3" applyFont="1" applyFill="1" applyBorder="1" applyAlignment="1">
      <alignment horizontal="center" vertical="center"/>
    </xf>
    <xf numFmtId="6" fontId="2" fillId="0" borderId="31" xfId="6" applyFont="1" applyBorder="1" applyAlignment="1">
      <alignment horizontal="center" vertical="center"/>
    </xf>
    <xf numFmtId="38" fontId="6" fillId="4" borderId="26" xfId="3" applyNumberFormat="1" applyFont="1" applyFill="1" applyBorder="1" applyAlignment="1">
      <alignment horizontal="center" vertical="center"/>
    </xf>
    <xf numFmtId="38" fontId="6" fillId="4" borderId="27" xfId="3" applyNumberFormat="1" applyFont="1" applyFill="1" applyBorder="1" applyAlignment="1">
      <alignment horizontal="center" vertical="center"/>
    </xf>
    <xf numFmtId="38" fontId="6" fillId="4" borderId="28" xfId="3" applyNumberFormat="1" applyFont="1" applyFill="1" applyBorder="1" applyAlignment="1">
      <alignment horizontal="center" vertical="center"/>
    </xf>
    <xf numFmtId="38" fontId="2" fillId="0" borderId="27" xfId="2" applyNumberFormat="1" applyFont="1" applyBorder="1" applyAlignment="1">
      <alignment horizontal="center" vertical="center"/>
    </xf>
    <xf numFmtId="0" fontId="6" fillId="4" borderId="4" xfId="3" applyFont="1" applyFill="1" applyBorder="1" applyAlignment="1">
      <alignment horizontal="center" vertical="center"/>
    </xf>
    <xf numFmtId="0" fontId="6" fillId="4" borderId="29" xfId="3" applyFont="1" applyFill="1" applyBorder="1" applyAlignment="1">
      <alignment horizontal="center" vertical="center"/>
    </xf>
    <xf numFmtId="0" fontId="6" fillId="4" borderId="5" xfId="3" applyFont="1" applyFill="1" applyBorder="1" applyAlignment="1">
      <alignment horizontal="center" vertical="center"/>
    </xf>
    <xf numFmtId="0" fontId="2" fillId="8" borderId="4" xfId="2" applyFill="1" applyBorder="1" applyAlignment="1">
      <alignment horizontal="center" vertical="center"/>
    </xf>
    <xf numFmtId="0" fontId="2" fillId="8" borderId="29" xfId="2" applyFill="1" applyBorder="1" applyAlignment="1">
      <alignment horizontal="center" vertical="center"/>
    </xf>
    <xf numFmtId="38" fontId="6" fillId="4" borderId="23" xfId="3" applyNumberFormat="1" applyFont="1" applyFill="1" applyBorder="1" applyAlignment="1">
      <alignment horizontal="center" vertical="center"/>
    </xf>
    <xf numFmtId="38" fontId="6" fillId="4" borderId="24" xfId="3" applyNumberFormat="1" applyFont="1" applyFill="1" applyBorder="1" applyAlignment="1">
      <alignment horizontal="center" vertical="center"/>
    </xf>
    <xf numFmtId="38" fontId="6" fillId="4" borderId="25" xfId="3" applyNumberFormat="1" applyFont="1" applyFill="1" applyBorder="1" applyAlignment="1">
      <alignment horizontal="center" vertical="center"/>
    </xf>
    <xf numFmtId="0" fontId="2" fillId="0" borderId="24" xfId="2" applyFont="1" applyBorder="1" applyAlignment="1">
      <alignment horizontal="center" vertical="center"/>
    </xf>
    <xf numFmtId="0" fontId="2" fillId="0" borderId="23" xfId="2" applyFont="1" applyBorder="1" applyAlignment="1">
      <alignment horizontal="center" vertical="center"/>
    </xf>
    <xf numFmtId="0" fontId="6" fillId="4" borderId="1" xfId="3" applyFont="1" applyFill="1" applyBorder="1" applyAlignment="1">
      <alignment horizontal="center" vertical="center"/>
    </xf>
    <xf numFmtId="0" fontId="6" fillId="4" borderId="7" xfId="3" applyFont="1" applyFill="1" applyBorder="1" applyAlignment="1">
      <alignment horizontal="center" vertical="center"/>
    </xf>
    <xf numFmtId="0" fontId="6" fillId="4" borderId="2" xfId="3" applyFont="1" applyFill="1" applyBorder="1" applyAlignment="1">
      <alignment horizontal="center" vertical="center"/>
    </xf>
    <xf numFmtId="0" fontId="6" fillId="4" borderId="8" xfId="3" applyFont="1" applyFill="1" applyBorder="1" applyAlignment="1">
      <alignment horizontal="center" vertical="center"/>
    </xf>
    <xf numFmtId="0" fontId="6" fillId="4" borderId="3" xfId="3" applyFont="1" applyFill="1" applyBorder="1" applyAlignment="1">
      <alignment horizontal="center" vertical="center"/>
    </xf>
    <xf numFmtId="0" fontId="6" fillId="4" borderId="9" xfId="3" applyFont="1" applyFill="1" applyBorder="1" applyAlignment="1">
      <alignment horizontal="center" vertical="center"/>
    </xf>
    <xf numFmtId="0" fontId="2" fillId="5" borderId="4" xfId="2" applyFill="1" applyBorder="1" applyAlignment="1">
      <alignment horizontal="center" vertical="center"/>
    </xf>
    <xf numFmtId="0" fontId="2" fillId="5" borderId="29" xfId="2" applyFill="1" applyBorder="1" applyAlignment="1">
      <alignment horizontal="center" vertical="center"/>
    </xf>
    <xf numFmtId="0" fontId="2" fillId="6" borderId="4" xfId="2" applyFill="1" applyBorder="1" applyAlignment="1">
      <alignment horizontal="center" vertical="center"/>
    </xf>
    <xf numFmtId="0" fontId="2" fillId="6" borderId="29" xfId="2" applyFill="1" applyBorder="1" applyAlignment="1">
      <alignment horizontal="center" vertical="center"/>
    </xf>
    <xf numFmtId="0" fontId="2" fillId="7" borderId="4" xfId="2" applyFill="1" applyBorder="1" applyAlignment="1">
      <alignment horizontal="center" vertical="center"/>
    </xf>
    <xf numFmtId="0" fontId="2" fillId="7" borderId="29" xfId="2" applyFill="1" applyBorder="1" applyAlignment="1">
      <alignment horizontal="center" vertical="center"/>
    </xf>
  </cellXfs>
  <cellStyles count="12">
    <cellStyle name="20% - アクセント 6 2" xfId="4" xr:uid="{00000000-0005-0000-0000-000000000000}"/>
    <cellStyle name="40% - アクセント 6 2" xfId="3" xr:uid="{00000000-0005-0000-0000-000001000000}"/>
    <cellStyle name="パーセント" xfId="10" builtinId="5"/>
    <cellStyle name="パーセント 2" xfId="5" xr:uid="{00000000-0005-0000-0000-000003000000}"/>
    <cellStyle name="ハイパーリンク" xfId="11" builtinId="8"/>
    <cellStyle name="桁区切り" xfId="1" builtinId="6"/>
    <cellStyle name="桁区切り 2" xfId="7" xr:uid="{00000000-0005-0000-0000-000006000000}"/>
    <cellStyle name="桁区切り 3" xfId="9" xr:uid="{00000000-0005-0000-0000-000007000000}"/>
    <cellStyle name="通貨 2" xfId="6" xr:uid="{00000000-0005-0000-0000-000008000000}"/>
    <cellStyle name="標準" xfId="0" builtinId="0"/>
    <cellStyle name="標準 2" xfId="2" xr:uid="{00000000-0005-0000-0000-00000A000000}"/>
    <cellStyle name="標準 3" xfId="8" xr:uid="{00000000-0005-0000-0000-00000B000000}"/>
  </cellStyles>
  <dxfs count="10">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rgb="FFFF9900"/>
        </patternFill>
      </fill>
    </dxf>
    <dxf>
      <fill>
        <patternFill>
          <bgColor rgb="FFFF9900"/>
        </patternFill>
      </fill>
    </dxf>
    <dxf>
      <fill>
        <patternFill>
          <bgColor indexed="43"/>
        </patternFill>
      </fill>
    </dxf>
    <dxf>
      <fill>
        <patternFill>
          <bgColor indexed="52"/>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価格帯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cked"/>
        <c:varyColors val="0"/>
        <c:ser>
          <c:idx val="0"/>
          <c:order val="0"/>
          <c:spPr>
            <a:ln w="28575" cap="rnd">
              <a:solidFill>
                <a:schemeClr val="accent1"/>
              </a:solidFill>
              <a:round/>
            </a:ln>
            <a:effectLst/>
          </c:spPr>
          <c:marker>
            <c:symbol val="none"/>
          </c:marker>
          <c:cat>
            <c:strRef>
              <c:f>競合比較分析!$C$5:$C$11</c:f>
              <c:strCache>
                <c:ptCount val="7"/>
                <c:pt idx="0">
                  <c:v>建長寺</c:v>
                </c:pt>
                <c:pt idx="1">
                  <c:v>薬王寺</c:v>
                </c:pt>
                <c:pt idx="2">
                  <c:v>顕証寺</c:v>
                </c:pt>
                <c:pt idx="3">
                  <c:v>正満寺１</c:v>
                </c:pt>
                <c:pt idx="4">
                  <c:v>正満寺２</c:v>
                </c:pt>
                <c:pt idx="5">
                  <c:v>勧行寺</c:v>
                </c:pt>
                <c:pt idx="6">
                  <c:v>天倫寺</c:v>
                </c:pt>
              </c:strCache>
            </c:strRef>
          </c:cat>
          <c:val>
            <c:numRef>
              <c:f>競合比較分析!$D$5:$D$11</c:f>
              <c:numCache>
                <c:formatCode>#,##0_);[Red]\(#,##0\)</c:formatCode>
                <c:ptCount val="7"/>
                <c:pt idx="0">
                  <c:v>933600</c:v>
                </c:pt>
                <c:pt idx="1">
                  <c:v>718600</c:v>
                </c:pt>
                <c:pt idx="2">
                  <c:v>459600</c:v>
                </c:pt>
                <c:pt idx="3">
                  <c:v>580440</c:v>
                </c:pt>
                <c:pt idx="4">
                  <c:v>480440</c:v>
                </c:pt>
                <c:pt idx="5">
                  <c:v>558400</c:v>
                </c:pt>
                <c:pt idx="6">
                  <c:v>518400</c:v>
                </c:pt>
              </c:numCache>
            </c:numRef>
          </c:val>
          <c:smooth val="0"/>
          <c:extLst>
            <c:ext xmlns:c16="http://schemas.microsoft.com/office/drawing/2014/chart" uri="{C3380CC4-5D6E-409C-BE32-E72D297353CC}">
              <c16:uniqueId val="{00000000-B225-4D9B-8BC6-9F47E4DD87CA}"/>
            </c:ext>
          </c:extLst>
        </c:ser>
        <c:ser>
          <c:idx val="1"/>
          <c:order val="1"/>
          <c:spPr>
            <a:ln w="28575" cap="rnd">
              <a:solidFill>
                <a:schemeClr val="accent2"/>
              </a:solidFill>
              <a:round/>
            </a:ln>
            <a:effectLst/>
          </c:spPr>
          <c:marker>
            <c:symbol val="none"/>
          </c:marker>
          <c:cat>
            <c:strRef>
              <c:f>競合比較分析!$C$5:$C$11</c:f>
              <c:strCache>
                <c:ptCount val="7"/>
                <c:pt idx="0">
                  <c:v>建長寺</c:v>
                </c:pt>
                <c:pt idx="1">
                  <c:v>薬王寺</c:v>
                </c:pt>
                <c:pt idx="2">
                  <c:v>顕証寺</c:v>
                </c:pt>
                <c:pt idx="3">
                  <c:v>正満寺１</c:v>
                </c:pt>
                <c:pt idx="4">
                  <c:v>正満寺２</c:v>
                </c:pt>
                <c:pt idx="5">
                  <c:v>勧行寺</c:v>
                </c:pt>
                <c:pt idx="6">
                  <c:v>天倫寺</c:v>
                </c:pt>
              </c:strCache>
            </c:strRef>
          </c:cat>
          <c:val>
            <c:numRef>
              <c:f>競合比較分析!$E$5:$E$11</c:f>
              <c:numCache>
                <c:formatCode>#,##0_);[Red]\(#,##0\)</c:formatCode>
                <c:ptCount val="7"/>
                <c:pt idx="0">
                  <c:v>1483400</c:v>
                </c:pt>
                <c:pt idx="1">
                  <c:v>1230600</c:v>
                </c:pt>
                <c:pt idx="2">
                  <c:v>1016400</c:v>
                </c:pt>
                <c:pt idx="3">
                  <c:v>820440</c:v>
                </c:pt>
                <c:pt idx="4">
                  <c:v>900440</c:v>
                </c:pt>
                <c:pt idx="5">
                  <c:v>1328400</c:v>
                </c:pt>
                <c:pt idx="6">
                  <c:v>1791600</c:v>
                </c:pt>
              </c:numCache>
            </c:numRef>
          </c:val>
          <c:smooth val="0"/>
          <c:extLst>
            <c:ext xmlns:c16="http://schemas.microsoft.com/office/drawing/2014/chart" uri="{C3380CC4-5D6E-409C-BE32-E72D297353CC}">
              <c16:uniqueId val="{00000001-B225-4D9B-8BC6-9F47E4DD87CA}"/>
            </c:ext>
          </c:extLst>
        </c:ser>
        <c:dLbls>
          <c:showLegendKey val="0"/>
          <c:showVal val="0"/>
          <c:showCatName val="0"/>
          <c:showSerName val="0"/>
          <c:showPercent val="0"/>
          <c:showBubbleSize val="0"/>
        </c:dLbls>
        <c:smooth val="0"/>
        <c:axId val="296754496"/>
        <c:axId val="183203512"/>
      </c:lineChart>
      <c:catAx>
        <c:axId val="29675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3203512"/>
        <c:crosses val="autoZero"/>
        <c:auto val="1"/>
        <c:lblAlgn val="ctr"/>
        <c:lblOffset val="100"/>
        <c:noMultiLvlLbl val="0"/>
      </c:catAx>
      <c:valAx>
        <c:axId val="1832035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675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坪単価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none"/>
          </c:marker>
          <c:cat>
            <c:strRef>
              <c:f>競合比較分析!$C$19:$C$25</c:f>
              <c:strCache>
                <c:ptCount val="7"/>
                <c:pt idx="0">
                  <c:v>建長寺</c:v>
                </c:pt>
                <c:pt idx="1">
                  <c:v>薬王寺</c:v>
                </c:pt>
                <c:pt idx="2">
                  <c:v>顕証寺</c:v>
                </c:pt>
                <c:pt idx="3">
                  <c:v>正満寺１</c:v>
                </c:pt>
                <c:pt idx="4">
                  <c:v>正満寺２</c:v>
                </c:pt>
                <c:pt idx="5">
                  <c:v>勧行寺</c:v>
                </c:pt>
                <c:pt idx="6">
                  <c:v>天倫寺</c:v>
                </c:pt>
              </c:strCache>
            </c:strRef>
          </c:cat>
          <c:val>
            <c:numRef>
              <c:f>競合比較分析!$D$19:$D$25</c:f>
              <c:numCache>
                <c:formatCode>#,##0_);[Red]\(#,##0\)</c:formatCode>
                <c:ptCount val="7"/>
                <c:pt idx="0">
                  <c:v>42790000</c:v>
                </c:pt>
                <c:pt idx="1">
                  <c:v>32935833.333333362</c:v>
                </c:pt>
                <c:pt idx="2">
                  <c:v>53926400</c:v>
                </c:pt>
                <c:pt idx="3">
                  <c:v>68104960</c:v>
                </c:pt>
                <c:pt idx="4">
                  <c:v>56371626.666666642</c:v>
                </c:pt>
                <c:pt idx="5">
                  <c:v>25593333.333333362</c:v>
                </c:pt>
                <c:pt idx="6">
                  <c:v>21897216</c:v>
                </c:pt>
              </c:numCache>
            </c:numRef>
          </c:val>
          <c:smooth val="0"/>
          <c:extLst>
            <c:ext xmlns:c16="http://schemas.microsoft.com/office/drawing/2014/chart" uri="{C3380CC4-5D6E-409C-BE32-E72D297353CC}">
              <c16:uniqueId val="{00000000-7E03-4B72-BFFE-FB422BAB3FBF}"/>
            </c:ext>
          </c:extLst>
        </c:ser>
        <c:ser>
          <c:idx val="1"/>
          <c:order val="1"/>
          <c:spPr>
            <a:ln w="28575" cap="rnd">
              <a:solidFill>
                <a:schemeClr val="accent2"/>
              </a:solidFill>
              <a:round/>
            </a:ln>
            <a:effectLst/>
          </c:spPr>
          <c:marker>
            <c:symbol val="none"/>
          </c:marker>
          <c:cat>
            <c:strRef>
              <c:f>競合比較分析!$C$19:$C$25</c:f>
              <c:strCache>
                <c:ptCount val="7"/>
                <c:pt idx="0">
                  <c:v>建長寺</c:v>
                </c:pt>
                <c:pt idx="1">
                  <c:v>薬王寺</c:v>
                </c:pt>
                <c:pt idx="2">
                  <c:v>顕証寺</c:v>
                </c:pt>
                <c:pt idx="3">
                  <c:v>正満寺１</c:v>
                </c:pt>
                <c:pt idx="4">
                  <c:v>正満寺２</c:v>
                </c:pt>
                <c:pt idx="5">
                  <c:v>勧行寺</c:v>
                </c:pt>
                <c:pt idx="6">
                  <c:v>天倫寺</c:v>
                </c:pt>
              </c:strCache>
            </c:strRef>
          </c:cat>
          <c:val>
            <c:numRef>
              <c:f>競合比較分析!$E$19:$E$25</c:f>
              <c:numCache>
                <c:formatCode>#,##0_);[Red]\(#,##0\)</c:formatCode>
                <c:ptCount val="7"/>
                <c:pt idx="0">
                  <c:v>67989166.666666642</c:v>
                </c:pt>
                <c:pt idx="1">
                  <c:v>56402500</c:v>
                </c:pt>
                <c:pt idx="2">
                  <c:v>119257600</c:v>
                </c:pt>
                <c:pt idx="3">
                  <c:v>96264960</c:v>
                </c:pt>
                <c:pt idx="4">
                  <c:v>105651626.6666664</c:v>
                </c:pt>
                <c:pt idx="5">
                  <c:v>60885000</c:v>
                </c:pt>
                <c:pt idx="6">
                  <c:v>37526016</c:v>
                </c:pt>
              </c:numCache>
            </c:numRef>
          </c:val>
          <c:smooth val="0"/>
          <c:extLst>
            <c:ext xmlns:c16="http://schemas.microsoft.com/office/drawing/2014/chart" uri="{C3380CC4-5D6E-409C-BE32-E72D297353CC}">
              <c16:uniqueId val="{00000001-7E03-4B72-BFFE-FB422BAB3FBF}"/>
            </c:ext>
          </c:extLst>
        </c:ser>
        <c:dLbls>
          <c:showLegendKey val="0"/>
          <c:showVal val="0"/>
          <c:showCatName val="0"/>
          <c:showSerName val="0"/>
          <c:showPercent val="0"/>
          <c:showBubbleSize val="0"/>
        </c:dLbls>
        <c:smooth val="0"/>
        <c:axId val="297586176"/>
        <c:axId val="297585784"/>
      </c:lineChart>
      <c:catAx>
        <c:axId val="29758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7585784"/>
        <c:crosses val="autoZero"/>
        <c:auto val="1"/>
        <c:lblAlgn val="ctr"/>
        <c:lblOffset val="100"/>
        <c:noMultiLvlLbl val="0"/>
      </c:catAx>
      <c:valAx>
        <c:axId val="29758578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758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7448405253283331"/>
          <c:y val="3.1897976316375629E-2"/>
          <c:w val="0.79924953095684803"/>
          <c:h val="0.70251000673993458"/>
        </c:manualLayout>
      </c:layout>
      <c:scatterChart>
        <c:scatterStyle val="lineMarker"/>
        <c:varyColors val="0"/>
        <c:ser>
          <c:idx val="0"/>
          <c:order val="0"/>
          <c:tx>
            <c:strRef>
              <c:f>'MD分析表(保留)'!$D$2</c:f>
              <c:strCache>
                <c:ptCount val="1"/>
                <c:pt idx="0">
                  <c:v>アイエム</c:v>
                </c:pt>
              </c:strCache>
            </c:strRef>
          </c:tx>
          <c:spPr>
            <a:ln>
              <a:solidFill>
                <a:srgbClr val="FF0000"/>
              </a:solidFill>
            </a:ln>
          </c:spPr>
          <c:marker>
            <c:spPr>
              <a:solidFill>
                <a:srgbClr val="FF0000"/>
              </a:solidFill>
              <a:ln>
                <a:solidFill>
                  <a:srgbClr val="C00000"/>
                </a:solidFill>
              </a:ln>
            </c:spPr>
          </c:marker>
          <c:xVal>
            <c:numRef>
              <c:f>'MD分析表(保留)'!$D$6:$D$15</c:f>
              <c:numCache>
                <c:formatCode>General</c:formatCode>
                <c:ptCount val="10"/>
                <c:pt idx="0" formatCode="#,##0_);[Red]\(#,##0\)">
                  <c:v>0</c:v>
                </c:pt>
                <c:pt idx="1">
                  <c:v>0</c:v>
                </c:pt>
                <c:pt idx="2">
                  <c:v>0</c:v>
                </c:pt>
                <c:pt idx="3">
                  <c:v>0</c:v>
                </c:pt>
                <c:pt idx="4">
                  <c:v>25</c:v>
                </c:pt>
                <c:pt idx="5">
                  <c:v>4</c:v>
                </c:pt>
                <c:pt idx="6">
                  <c:v>0</c:v>
                </c:pt>
                <c:pt idx="7">
                  <c:v>0</c:v>
                </c:pt>
                <c:pt idx="8">
                  <c:v>0</c:v>
                </c:pt>
                <c:pt idx="9">
                  <c:v>0</c:v>
                </c:pt>
              </c:numCache>
            </c:numRef>
          </c:xVal>
          <c:yVal>
            <c:numRef>
              <c:f>'MD分析表(保留)'!$T$6:$T$15</c:f>
              <c:numCache>
                <c:formatCode>General</c:formatCode>
                <c:ptCount val="10"/>
                <c:pt idx="0">
                  <c:v>9.5</c:v>
                </c:pt>
                <c:pt idx="1">
                  <c:v>8.5</c:v>
                </c:pt>
                <c:pt idx="2">
                  <c:v>7.5</c:v>
                </c:pt>
                <c:pt idx="3">
                  <c:v>6.5</c:v>
                </c:pt>
                <c:pt idx="4">
                  <c:v>5.5</c:v>
                </c:pt>
                <c:pt idx="5">
                  <c:v>4.5</c:v>
                </c:pt>
                <c:pt idx="6">
                  <c:v>3.5</c:v>
                </c:pt>
                <c:pt idx="7">
                  <c:v>2.5</c:v>
                </c:pt>
                <c:pt idx="8">
                  <c:v>1.5</c:v>
                </c:pt>
                <c:pt idx="9">
                  <c:v>0.5</c:v>
                </c:pt>
              </c:numCache>
            </c:numRef>
          </c:yVal>
          <c:smooth val="1"/>
          <c:extLst>
            <c:ext xmlns:c16="http://schemas.microsoft.com/office/drawing/2014/chart" uri="{C3380CC4-5D6E-409C-BE32-E72D297353CC}">
              <c16:uniqueId val="{00000000-A67E-5C47-9DB2-D428EA9D1301}"/>
            </c:ext>
          </c:extLst>
        </c:ser>
        <c:ser>
          <c:idx val="1"/>
          <c:order val="1"/>
          <c:tx>
            <c:strRef>
              <c:f>'MD分析表(保留)'!$G$2</c:f>
              <c:strCache>
                <c:ptCount val="1"/>
                <c:pt idx="0">
                  <c:v>アンカレッジ</c:v>
                </c:pt>
              </c:strCache>
            </c:strRef>
          </c:tx>
          <c:spPr>
            <a:ln>
              <a:solidFill>
                <a:srgbClr val="FFC000"/>
              </a:solidFill>
            </a:ln>
          </c:spPr>
          <c:marker>
            <c:spPr>
              <a:solidFill>
                <a:srgbClr val="FFC000"/>
              </a:solidFill>
              <a:ln>
                <a:solidFill>
                  <a:srgbClr val="FF0000"/>
                </a:solidFill>
              </a:ln>
            </c:spPr>
          </c:marker>
          <c:xVal>
            <c:numRef>
              <c:f>'MD分析表(保留)'!$G$6:$G$15</c:f>
              <c:numCache>
                <c:formatCode>General</c:formatCode>
                <c:ptCount val="10"/>
                <c:pt idx="0">
                  <c:v>0</c:v>
                </c:pt>
                <c:pt idx="1">
                  <c:v>0</c:v>
                </c:pt>
                <c:pt idx="2">
                  <c:v>0</c:v>
                </c:pt>
                <c:pt idx="3">
                  <c:v>0</c:v>
                </c:pt>
                <c:pt idx="4">
                  <c:v>15</c:v>
                </c:pt>
                <c:pt idx="5">
                  <c:v>18</c:v>
                </c:pt>
                <c:pt idx="6">
                  <c:v>0</c:v>
                </c:pt>
                <c:pt idx="7">
                  <c:v>0</c:v>
                </c:pt>
                <c:pt idx="8">
                  <c:v>0</c:v>
                </c:pt>
                <c:pt idx="9">
                  <c:v>0</c:v>
                </c:pt>
              </c:numCache>
            </c:numRef>
          </c:xVal>
          <c:yVal>
            <c:numRef>
              <c:f>'MD分析表(保留)'!$T$6:$T$15</c:f>
              <c:numCache>
                <c:formatCode>General</c:formatCode>
                <c:ptCount val="10"/>
                <c:pt idx="0">
                  <c:v>9.5</c:v>
                </c:pt>
                <c:pt idx="1">
                  <c:v>8.5</c:v>
                </c:pt>
                <c:pt idx="2">
                  <c:v>7.5</c:v>
                </c:pt>
                <c:pt idx="3">
                  <c:v>6.5</c:v>
                </c:pt>
                <c:pt idx="4">
                  <c:v>5.5</c:v>
                </c:pt>
                <c:pt idx="5">
                  <c:v>4.5</c:v>
                </c:pt>
                <c:pt idx="6">
                  <c:v>3.5</c:v>
                </c:pt>
                <c:pt idx="7">
                  <c:v>2.5</c:v>
                </c:pt>
                <c:pt idx="8">
                  <c:v>1.5</c:v>
                </c:pt>
                <c:pt idx="9">
                  <c:v>0.5</c:v>
                </c:pt>
              </c:numCache>
            </c:numRef>
          </c:yVal>
          <c:smooth val="1"/>
          <c:extLst>
            <c:ext xmlns:c16="http://schemas.microsoft.com/office/drawing/2014/chart" uri="{C3380CC4-5D6E-409C-BE32-E72D297353CC}">
              <c16:uniqueId val="{00000001-A67E-5C47-9DB2-D428EA9D1301}"/>
            </c:ext>
          </c:extLst>
        </c:ser>
        <c:ser>
          <c:idx val="2"/>
          <c:order val="2"/>
          <c:tx>
            <c:strRef>
              <c:f>'MD分析表(保留)'!$J$2</c:f>
              <c:strCache>
                <c:ptCount val="1"/>
                <c:pt idx="0">
                  <c:v>C社</c:v>
                </c:pt>
              </c:strCache>
            </c:strRef>
          </c:tx>
          <c:spPr>
            <a:ln>
              <a:solidFill>
                <a:srgbClr val="92D050"/>
              </a:solidFill>
            </a:ln>
          </c:spPr>
          <c:marker>
            <c:spPr>
              <a:solidFill>
                <a:srgbClr val="92D050"/>
              </a:solidFill>
              <a:ln>
                <a:solidFill>
                  <a:srgbClr val="00B050"/>
                </a:solidFill>
              </a:ln>
            </c:spPr>
          </c:marker>
          <c:xVal>
            <c:numRef>
              <c:f>'MD分析表(保留)'!$J$6:$J$15</c:f>
              <c:numCache>
                <c:formatCode>General</c:formatCode>
                <c:ptCount val="10"/>
                <c:pt idx="0">
                  <c:v>0</c:v>
                </c:pt>
                <c:pt idx="1">
                  <c:v>0</c:v>
                </c:pt>
                <c:pt idx="2">
                  <c:v>0</c:v>
                </c:pt>
                <c:pt idx="3">
                  <c:v>0</c:v>
                </c:pt>
                <c:pt idx="4">
                  <c:v>0</c:v>
                </c:pt>
                <c:pt idx="5">
                  <c:v>42</c:v>
                </c:pt>
                <c:pt idx="6">
                  <c:v>25</c:v>
                </c:pt>
                <c:pt idx="7">
                  <c:v>0</c:v>
                </c:pt>
                <c:pt idx="8">
                  <c:v>0</c:v>
                </c:pt>
                <c:pt idx="9">
                  <c:v>0</c:v>
                </c:pt>
              </c:numCache>
            </c:numRef>
          </c:xVal>
          <c:yVal>
            <c:numRef>
              <c:f>'MD分析表(保留)'!$T$6:$T$15</c:f>
              <c:numCache>
                <c:formatCode>General</c:formatCode>
                <c:ptCount val="10"/>
                <c:pt idx="0">
                  <c:v>9.5</c:v>
                </c:pt>
                <c:pt idx="1">
                  <c:v>8.5</c:v>
                </c:pt>
                <c:pt idx="2">
                  <c:v>7.5</c:v>
                </c:pt>
                <c:pt idx="3">
                  <c:v>6.5</c:v>
                </c:pt>
                <c:pt idx="4">
                  <c:v>5.5</c:v>
                </c:pt>
                <c:pt idx="5">
                  <c:v>4.5</c:v>
                </c:pt>
                <c:pt idx="6">
                  <c:v>3.5</c:v>
                </c:pt>
                <c:pt idx="7">
                  <c:v>2.5</c:v>
                </c:pt>
                <c:pt idx="8">
                  <c:v>1.5</c:v>
                </c:pt>
                <c:pt idx="9">
                  <c:v>0.5</c:v>
                </c:pt>
              </c:numCache>
            </c:numRef>
          </c:yVal>
          <c:smooth val="0"/>
          <c:extLst>
            <c:ext xmlns:c16="http://schemas.microsoft.com/office/drawing/2014/chart" uri="{C3380CC4-5D6E-409C-BE32-E72D297353CC}">
              <c16:uniqueId val="{00000002-A67E-5C47-9DB2-D428EA9D1301}"/>
            </c:ext>
          </c:extLst>
        </c:ser>
        <c:ser>
          <c:idx val="3"/>
          <c:order val="3"/>
          <c:tx>
            <c:strRef>
              <c:f>'MD分析表(保留)'!$M$2</c:f>
              <c:strCache>
                <c:ptCount val="1"/>
                <c:pt idx="0">
                  <c:v>D社</c:v>
                </c:pt>
              </c:strCache>
            </c:strRef>
          </c:tx>
          <c:spPr>
            <a:ln>
              <a:solidFill>
                <a:srgbClr val="00B0F0"/>
              </a:solidFill>
            </a:ln>
          </c:spPr>
          <c:marker>
            <c:spPr>
              <a:solidFill>
                <a:srgbClr val="00B0F0"/>
              </a:solidFill>
              <a:ln>
                <a:solidFill>
                  <a:srgbClr val="0070C0"/>
                </a:solidFill>
              </a:ln>
            </c:spPr>
          </c:marker>
          <c:xVal>
            <c:numRef>
              <c:f>'MD分析表(保留)'!$M$6:$M$15</c:f>
              <c:numCache>
                <c:formatCode>General</c:formatCode>
                <c:ptCount val="10"/>
                <c:pt idx="0">
                  <c:v>0</c:v>
                </c:pt>
                <c:pt idx="1">
                  <c:v>0</c:v>
                </c:pt>
                <c:pt idx="2">
                  <c:v>0</c:v>
                </c:pt>
                <c:pt idx="3">
                  <c:v>1</c:v>
                </c:pt>
                <c:pt idx="4">
                  <c:v>0</c:v>
                </c:pt>
                <c:pt idx="5">
                  <c:v>16</c:v>
                </c:pt>
                <c:pt idx="6">
                  <c:v>0</c:v>
                </c:pt>
                <c:pt idx="7">
                  <c:v>0</c:v>
                </c:pt>
                <c:pt idx="8">
                  <c:v>0</c:v>
                </c:pt>
                <c:pt idx="9">
                  <c:v>0</c:v>
                </c:pt>
              </c:numCache>
            </c:numRef>
          </c:xVal>
          <c:yVal>
            <c:numRef>
              <c:f>'MD分析表(保留)'!$T$6:$T$15</c:f>
              <c:numCache>
                <c:formatCode>General</c:formatCode>
                <c:ptCount val="10"/>
                <c:pt idx="0">
                  <c:v>9.5</c:v>
                </c:pt>
                <c:pt idx="1">
                  <c:v>8.5</c:v>
                </c:pt>
                <c:pt idx="2">
                  <c:v>7.5</c:v>
                </c:pt>
                <c:pt idx="3">
                  <c:v>6.5</c:v>
                </c:pt>
                <c:pt idx="4">
                  <c:v>5.5</c:v>
                </c:pt>
                <c:pt idx="5">
                  <c:v>4.5</c:v>
                </c:pt>
                <c:pt idx="6">
                  <c:v>3.5</c:v>
                </c:pt>
                <c:pt idx="7">
                  <c:v>2.5</c:v>
                </c:pt>
                <c:pt idx="8">
                  <c:v>1.5</c:v>
                </c:pt>
                <c:pt idx="9">
                  <c:v>0.5</c:v>
                </c:pt>
              </c:numCache>
            </c:numRef>
          </c:yVal>
          <c:smooth val="0"/>
          <c:extLst>
            <c:ext xmlns:c16="http://schemas.microsoft.com/office/drawing/2014/chart" uri="{C3380CC4-5D6E-409C-BE32-E72D297353CC}">
              <c16:uniqueId val="{00000003-A67E-5C47-9DB2-D428EA9D1301}"/>
            </c:ext>
          </c:extLst>
        </c:ser>
        <c:dLbls>
          <c:showLegendKey val="0"/>
          <c:showVal val="0"/>
          <c:showCatName val="0"/>
          <c:showSerName val="0"/>
          <c:showPercent val="0"/>
          <c:showBubbleSize val="0"/>
        </c:dLbls>
        <c:axId val="297579120"/>
        <c:axId val="297582648"/>
      </c:scatterChart>
      <c:valAx>
        <c:axId val="297579120"/>
        <c:scaling>
          <c:orientation val="minMax"/>
          <c:min val="0"/>
        </c:scaling>
        <c:delete val="0"/>
        <c:axPos val="b"/>
        <c:majorGridlines/>
        <c:title>
          <c:tx>
            <c:rich>
              <a:bodyPr/>
              <a:lstStyle/>
              <a:p>
                <a:pPr>
                  <a:defRPr/>
                </a:pPr>
                <a:r>
                  <a:rPr lang="ja-JP"/>
                  <a:t>アイテム数</a:t>
                </a:r>
              </a:p>
            </c:rich>
          </c:tx>
          <c:layout>
            <c:manualLayout>
              <c:xMode val="edge"/>
              <c:yMode val="edge"/>
              <c:x val="0.84812534100633452"/>
              <c:y val="0.80344799005387546"/>
            </c:manualLayout>
          </c:layout>
          <c:overlay val="0"/>
        </c:title>
        <c:numFmt formatCode="#,##0_);[Red]\(#,##0\)" sourceLinked="1"/>
        <c:majorTickMark val="in"/>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582648"/>
        <c:crosses val="autoZero"/>
        <c:crossBetween val="midCat"/>
      </c:valAx>
      <c:valAx>
        <c:axId val="297582648"/>
        <c:scaling>
          <c:orientation val="minMax"/>
          <c:max val="10"/>
          <c:min val="0"/>
        </c:scaling>
        <c:delete val="1"/>
        <c:axPos val="l"/>
        <c:majorGridlines/>
        <c:title>
          <c:tx>
            <c:rich>
              <a:bodyPr rot="0" vert="horz"/>
              <a:lstStyle/>
              <a:p>
                <a:pPr>
                  <a:defRPr/>
                </a:pPr>
                <a:r>
                  <a:rPr lang="ja-JP"/>
                  <a:t>価格</a:t>
                </a:r>
              </a:p>
            </c:rich>
          </c:tx>
          <c:layout>
            <c:manualLayout>
              <c:xMode val="edge"/>
              <c:yMode val="edge"/>
              <c:x val="1.8346743856142708E-2"/>
              <c:y val="1.1164525486945728E-2"/>
            </c:manualLayout>
          </c:layout>
          <c:overlay val="0"/>
        </c:title>
        <c:numFmt formatCode="General" sourceLinked="1"/>
        <c:majorTickMark val="out"/>
        <c:minorTickMark val="none"/>
        <c:tickLblPos val="nextTo"/>
        <c:crossAx val="297579120"/>
        <c:crosses val="autoZero"/>
        <c:crossBetween val="midCat"/>
        <c:majorUnit val="1"/>
      </c:valAx>
    </c:plotArea>
    <c:legend>
      <c:legendPos val="b"/>
      <c:overlay val="0"/>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38100</xdr:rowOff>
    </xdr:from>
    <xdr:to>
      <xdr:col>0</xdr:col>
      <xdr:colOff>114300</xdr:colOff>
      <xdr:row>16</xdr:row>
      <xdr:rowOff>142874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171825" y="4829175"/>
          <a:ext cx="114300" cy="276225"/>
        </a:xfrm>
        <a:prstGeom prst="rect">
          <a:avLst/>
        </a:prstGeom>
        <a:noFill/>
        <a:ln w="9525">
          <a:noFill/>
          <a:miter lim="800000"/>
          <a:headEnd/>
          <a:tailEnd/>
        </a:ln>
      </xdr:spPr>
    </xdr:sp>
    <xdr:clientData/>
  </xdr:twoCellAnchor>
  <xdr:twoCellAnchor editAs="oneCell">
    <xdr:from>
      <xdr:col>0</xdr:col>
      <xdr:colOff>0</xdr:colOff>
      <xdr:row>15</xdr:row>
      <xdr:rowOff>38100</xdr:rowOff>
    </xdr:from>
    <xdr:to>
      <xdr:col>0</xdr:col>
      <xdr:colOff>114300</xdr:colOff>
      <xdr:row>16</xdr:row>
      <xdr:rowOff>142874</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3134975" y="482917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4" name="Text Box 9">
          <a:extLst>
            <a:ext uri="{FF2B5EF4-FFF2-40B4-BE49-F238E27FC236}">
              <a16:creationId xmlns:a16="http://schemas.microsoft.com/office/drawing/2014/main" id="{00000000-0008-0000-0200-000004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5" name="Text Box 10">
          <a:extLst>
            <a:ext uri="{FF2B5EF4-FFF2-40B4-BE49-F238E27FC236}">
              <a16:creationId xmlns:a16="http://schemas.microsoft.com/office/drawing/2014/main" id="{00000000-0008-0000-0200-000005000000}"/>
            </a:ext>
          </a:extLst>
        </xdr:cNvPr>
        <xdr:cNvSpPr txBox="1">
          <a:spLocks noChangeArrowheads="1"/>
        </xdr:cNvSpPr>
      </xdr:nvSpPr>
      <xdr:spPr bwMode="auto">
        <a:xfrm>
          <a:off x="5753100"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6" name="Text Box 11">
          <a:extLst>
            <a:ext uri="{FF2B5EF4-FFF2-40B4-BE49-F238E27FC236}">
              <a16:creationId xmlns:a16="http://schemas.microsoft.com/office/drawing/2014/main" id="{00000000-0008-0000-0200-000006000000}"/>
            </a:ext>
          </a:extLst>
        </xdr:cNvPr>
        <xdr:cNvSpPr txBox="1">
          <a:spLocks noChangeArrowheads="1"/>
        </xdr:cNvSpPr>
      </xdr:nvSpPr>
      <xdr:spPr bwMode="auto">
        <a:xfrm>
          <a:off x="1313497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7" name="Text Box 18">
          <a:extLst>
            <a:ext uri="{FF2B5EF4-FFF2-40B4-BE49-F238E27FC236}">
              <a16:creationId xmlns:a16="http://schemas.microsoft.com/office/drawing/2014/main" id="{00000000-0008-0000-0200-000007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8" name="Text Box 20">
          <a:extLst>
            <a:ext uri="{FF2B5EF4-FFF2-40B4-BE49-F238E27FC236}">
              <a16:creationId xmlns:a16="http://schemas.microsoft.com/office/drawing/2014/main" id="{00000000-0008-0000-0200-000008000000}"/>
            </a:ext>
          </a:extLst>
        </xdr:cNvPr>
        <xdr:cNvSpPr txBox="1">
          <a:spLocks noChangeArrowheads="1"/>
        </xdr:cNvSpPr>
      </xdr:nvSpPr>
      <xdr:spPr bwMode="auto">
        <a:xfrm>
          <a:off x="13134975" y="5076825"/>
          <a:ext cx="114300" cy="276225"/>
        </a:xfrm>
        <a:prstGeom prst="rect">
          <a:avLst/>
        </a:prstGeom>
        <a:noFill/>
        <a:ln w="9525">
          <a:noFill/>
          <a:miter lim="800000"/>
          <a:headEnd/>
          <a:tailEnd/>
        </a:ln>
      </xdr:spPr>
    </xdr:sp>
    <xdr:clientData/>
  </xdr:twoCellAnchor>
  <xdr:twoCellAnchor editAs="oneCell">
    <xdr:from>
      <xdr:col>0</xdr:col>
      <xdr:colOff>0</xdr:colOff>
      <xdr:row>15</xdr:row>
      <xdr:rowOff>38100</xdr:rowOff>
    </xdr:from>
    <xdr:to>
      <xdr:col>0</xdr:col>
      <xdr:colOff>114300</xdr:colOff>
      <xdr:row>16</xdr:row>
      <xdr:rowOff>142874</xdr:rowOff>
    </xdr:to>
    <xdr:sp macro="" textlink="">
      <xdr:nvSpPr>
        <xdr:cNvPr id="9" name="Text Box 41">
          <a:extLst>
            <a:ext uri="{FF2B5EF4-FFF2-40B4-BE49-F238E27FC236}">
              <a16:creationId xmlns:a16="http://schemas.microsoft.com/office/drawing/2014/main" id="{00000000-0008-0000-0200-000009000000}"/>
            </a:ext>
          </a:extLst>
        </xdr:cNvPr>
        <xdr:cNvSpPr txBox="1">
          <a:spLocks noChangeArrowheads="1"/>
        </xdr:cNvSpPr>
      </xdr:nvSpPr>
      <xdr:spPr bwMode="auto">
        <a:xfrm>
          <a:off x="3171825" y="4829175"/>
          <a:ext cx="114300" cy="276225"/>
        </a:xfrm>
        <a:prstGeom prst="rect">
          <a:avLst/>
        </a:prstGeom>
        <a:noFill/>
        <a:ln w="9525">
          <a:noFill/>
          <a:miter lim="800000"/>
          <a:headEnd/>
          <a:tailEnd/>
        </a:ln>
      </xdr:spPr>
    </xdr:sp>
    <xdr:clientData/>
  </xdr:twoCellAnchor>
  <xdr:twoCellAnchor editAs="oneCell">
    <xdr:from>
      <xdr:col>0</xdr:col>
      <xdr:colOff>0</xdr:colOff>
      <xdr:row>15</xdr:row>
      <xdr:rowOff>38100</xdr:rowOff>
    </xdr:from>
    <xdr:to>
      <xdr:col>0</xdr:col>
      <xdr:colOff>114300</xdr:colOff>
      <xdr:row>16</xdr:row>
      <xdr:rowOff>142874</xdr:rowOff>
    </xdr:to>
    <xdr:sp macro="" textlink="">
      <xdr:nvSpPr>
        <xdr:cNvPr id="10" name="Text Box 42">
          <a:extLst>
            <a:ext uri="{FF2B5EF4-FFF2-40B4-BE49-F238E27FC236}">
              <a16:creationId xmlns:a16="http://schemas.microsoft.com/office/drawing/2014/main" id="{00000000-0008-0000-0200-00000A000000}"/>
            </a:ext>
          </a:extLst>
        </xdr:cNvPr>
        <xdr:cNvSpPr txBox="1">
          <a:spLocks noChangeArrowheads="1"/>
        </xdr:cNvSpPr>
      </xdr:nvSpPr>
      <xdr:spPr bwMode="auto">
        <a:xfrm>
          <a:off x="5753100" y="4829175"/>
          <a:ext cx="114300" cy="276225"/>
        </a:xfrm>
        <a:prstGeom prst="rect">
          <a:avLst/>
        </a:prstGeom>
        <a:noFill/>
        <a:ln w="9525">
          <a:noFill/>
          <a:miter lim="800000"/>
          <a:headEnd/>
          <a:tailEnd/>
        </a:ln>
      </xdr:spPr>
    </xdr:sp>
    <xdr:clientData/>
  </xdr:twoCellAnchor>
  <xdr:twoCellAnchor editAs="oneCell">
    <xdr:from>
      <xdr:col>0</xdr:col>
      <xdr:colOff>0</xdr:colOff>
      <xdr:row>15</xdr:row>
      <xdr:rowOff>38100</xdr:rowOff>
    </xdr:from>
    <xdr:to>
      <xdr:col>0</xdr:col>
      <xdr:colOff>114300</xdr:colOff>
      <xdr:row>16</xdr:row>
      <xdr:rowOff>142874</xdr:rowOff>
    </xdr:to>
    <xdr:sp macro="" textlink="">
      <xdr:nvSpPr>
        <xdr:cNvPr id="11" name="Text Box 43">
          <a:extLst>
            <a:ext uri="{FF2B5EF4-FFF2-40B4-BE49-F238E27FC236}">
              <a16:creationId xmlns:a16="http://schemas.microsoft.com/office/drawing/2014/main" id="{00000000-0008-0000-0200-00000B000000}"/>
            </a:ext>
          </a:extLst>
        </xdr:cNvPr>
        <xdr:cNvSpPr txBox="1">
          <a:spLocks noChangeArrowheads="1"/>
        </xdr:cNvSpPr>
      </xdr:nvSpPr>
      <xdr:spPr bwMode="auto">
        <a:xfrm>
          <a:off x="13134975" y="482917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2" name="Text Box 50">
          <a:extLst>
            <a:ext uri="{FF2B5EF4-FFF2-40B4-BE49-F238E27FC236}">
              <a16:creationId xmlns:a16="http://schemas.microsoft.com/office/drawing/2014/main" id="{00000000-0008-0000-0200-00000C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3" name="Text Box 52">
          <a:extLst>
            <a:ext uri="{FF2B5EF4-FFF2-40B4-BE49-F238E27FC236}">
              <a16:creationId xmlns:a16="http://schemas.microsoft.com/office/drawing/2014/main" id="{00000000-0008-0000-0200-00000D000000}"/>
            </a:ext>
          </a:extLst>
        </xdr:cNvPr>
        <xdr:cNvSpPr txBox="1">
          <a:spLocks noChangeArrowheads="1"/>
        </xdr:cNvSpPr>
      </xdr:nvSpPr>
      <xdr:spPr bwMode="auto">
        <a:xfrm>
          <a:off x="1313497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4" name="Text Box 59">
          <a:extLst>
            <a:ext uri="{FF2B5EF4-FFF2-40B4-BE49-F238E27FC236}">
              <a16:creationId xmlns:a16="http://schemas.microsoft.com/office/drawing/2014/main" id="{00000000-0008-0000-0200-00000E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5" name="Text Box 1">
          <a:extLst>
            <a:ext uri="{FF2B5EF4-FFF2-40B4-BE49-F238E27FC236}">
              <a16:creationId xmlns:a16="http://schemas.microsoft.com/office/drawing/2014/main" id="{00000000-0008-0000-0200-00000F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6" name="Text Box 2">
          <a:extLst>
            <a:ext uri="{FF2B5EF4-FFF2-40B4-BE49-F238E27FC236}">
              <a16:creationId xmlns:a16="http://schemas.microsoft.com/office/drawing/2014/main" id="{00000000-0008-0000-0200-000010000000}"/>
            </a:ext>
          </a:extLst>
        </xdr:cNvPr>
        <xdr:cNvSpPr txBox="1">
          <a:spLocks noChangeArrowheads="1"/>
        </xdr:cNvSpPr>
      </xdr:nvSpPr>
      <xdr:spPr bwMode="auto">
        <a:xfrm>
          <a:off x="1313497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7" name="Text Box 41">
          <a:extLst>
            <a:ext uri="{FF2B5EF4-FFF2-40B4-BE49-F238E27FC236}">
              <a16:creationId xmlns:a16="http://schemas.microsoft.com/office/drawing/2014/main" id="{00000000-0008-0000-0200-000011000000}"/>
            </a:ext>
          </a:extLst>
        </xdr:cNvPr>
        <xdr:cNvSpPr txBox="1">
          <a:spLocks noChangeArrowheads="1"/>
        </xdr:cNvSpPr>
      </xdr:nvSpPr>
      <xdr:spPr bwMode="auto">
        <a:xfrm>
          <a:off x="3171825"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8" name="Text Box 42">
          <a:extLst>
            <a:ext uri="{FF2B5EF4-FFF2-40B4-BE49-F238E27FC236}">
              <a16:creationId xmlns:a16="http://schemas.microsoft.com/office/drawing/2014/main" id="{00000000-0008-0000-0200-000012000000}"/>
            </a:ext>
          </a:extLst>
        </xdr:cNvPr>
        <xdr:cNvSpPr txBox="1">
          <a:spLocks noChangeArrowheads="1"/>
        </xdr:cNvSpPr>
      </xdr:nvSpPr>
      <xdr:spPr bwMode="auto">
        <a:xfrm>
          <a:off x="5753100" y="5076825"/>
          <a:ext cx="114300" cy="276225"/>
        </a:xfrm>
        <a:prstGeom prst="rect">
          <a:avLst/>
        </a:prstGeom>
        <a:noFill/>
        <a:ln w="9525">
          <a:noFill/>
          <a:miter lim="800000"/>
          <a:headEnd/>
          <a:tailEnd/>
        </a:ln>
      </xdr:spPr>
    </xdr:sp>
    <xdr:clientData/>
  </xdr:twoCellAnchor>
  <xdr:twoCellAnchor editAs="oneCell">
    <xdr:from>
      <xdr:col>0</xdr:col>
      <xdr:colOff>0</xdr:colOff>
      <xdr:row>16</xdr:row>
      <xdr:rowOff>38100</xdr:rowOff>
    </xdr:from>
    <xdr:to>
      <xdr:col>0</xdr:col>
      <xdr:colOff>114300</xdr:colOff>
      <xdr:row>17</xdr:row>
      <xdr:rowOff>142875</xdr:rowOff>
    </xdr:to>
    <xdr:sp macro="" textlink="">
      <xdr:nvSpPr>
        <xdr:cNvPr id="19" name="Text Box 43">
          <a:extLst>
            <a:ext uri="{FF2B5EF4-FFF2-40B4-BE49-F238E27FC236}">
              <a16:creationId xmlns:a16="http://schemas.microsoft.com/office/drawing/2014/main" id="{00000000-0008-0000-0200-000013000000}"/>
            </a:ext>
          </a:extLst>
        </xdr:cNvPr>
        <xdr:cNvSpPr txBox="1">
          <a:spLocks noChangeArrowheads="1"/>
        </xdr:cNvSpPr>
      </xdr:nvSpPr>
      <xdr:spPr bwMode="auto">
        <a:xfrm>
          <a:off x="13134975" y="5076825"/>
          <a:ext cx="114300" cy="276225"/>
        </a:xfrm>
        <a:prstGeom prst="rect">
          <a:avLst/>
        </a:prstGeom>
        <a:noFill/>
        <a:ln w="9525">
          <a:noFill/>
          <a:miter lim="800000"/>
          <a:headEnd/>
          <a:tailEnd/>
        </a:ln>
      </xdr:spPr>
    </xdr:sp>
    <xdr:clientData/>
  </xdr:twoCellAnchor>
  <xdr:oneCellAnchor>
    <xdr:from>
      <xdr:col>0</xdr:col>
      <xdr:colOff>0</xdr:colOff>
      <xdr:row>15</xdr:row>
      <xdr:rowOff>38100</xdr:rowOff>
    </xdr:from>
    <xdr:ext cx="114300" cy="282575"/>
    <xdr:sp macro="" textlink="">
      <xdr:nvSpPr>
        <xdr:cNvPr id="20" name="Text Box 1">
          <a:extLst>
            <a:ext uri="{FF2B5EF4-FFF2-40B4-BE49-F238E27FC236}">
              <a16:creationId xmlns:a16="http://schemas.microsoft.com/office/drawing/2014/main" id="{00000000-0008-0000-0200-000014000000}"/>
            </a:ext>
          </a:extLst>
        </xdr:cNvPr>
        <xdr:cNvSpPr txBox="1">
          <a:spLocks noChangeArrowheads="1"/>
        </xdr:cNvSpPr>
      </xdr:nvSpPr>
      <xdr:spPr bwMode="auto">
        <a:xfrm>
          <a:off x="5753100" y="4829175"/>
          <a:ext cx="114300" cy="282575"/>
        </a:xfrm>
        <a:prstGeom prst="rect">
          <a:avLst/>
        </a:prstGeom>
        <a:noFill/>
        <a:ln w="9525">
          <a:noFill/>
          <a:miter lim="800000"/>
          <a:headEnd/>
          <a:tailEnd/>
        </a:ln>
      </xdr:spPr>
    </xdr:sp>
    <xdr:clientData/>
  </xdr:oneCellAnchor>
  <xdr:oneCellAnchor>
    <xdr:from>
      <xdr:col>0</xdr:col>
      <xdr:colOff>0</xdr:colOff>
      <xdr:row>15</xdr:row>
      <xdr:rowOff>38100</xdr:rowOff>
    </xdr:from>
    <xdr:ext cx="114300" cy="282575"/>
    <xdr:sp macro="" textlink="">
      <xdr:nvSpPr>
        <xdr:cNvPr id="21" name="Text Box 41">
          <a:extLst>
            <a:ext uri="{FF2B5EF4-FFF2-40B4-BE49-F238E27FC236}">
              <a16:creationId xmlns:a16="http://schemas.microsoft.com/office/drawing/2014/main" id="{00000000-0008-0000-0200-000015000000}"/>
            </a:ext>
          </a:extLst>
        </xdr:cNvPr>
        <xdr:cNvSpPr txBox="1">
          <a:spLocks noChangeArrowheads="1"/>
        </xdr:cNvSpPr>
      </xdr:nvSpPr>
      <xdr:spPr bwMode="auto">
        <a:xfrm>
          <a:off x="5753100" y="4829175"/>
          <a:ext cx="114300" cy="282575"/>
        </a:xfrm>
        <a:prstGeom prst="rect">
          <a:avLst/>
        </a:prstGeom>
        <a:noFill/>
        <a:ln w="9525">
          <a:noFill/>
          <a:miter lim="800000"/>
          <a:headEnd/>
          <a:tailEnd/>
        </a:ln>
      </xdr:spPr>
    </xdr:sp>
    <xdr:clientData/>
  </xdr:oneCellAnchor>
  <xdr:twoCellAnchor>
    <xdr:from>
      <xdr:col>12</xdr:col>
      <xdr:colOff>1114273</xdr:colOff>
      <xdr:row>0</xdr:row>
      <xdr:rowOff>136072</xdr:rowOff>
    </xdr:from>
    <xdr:to>
      <xdr:col>19</xdr:col>
      <xdr:colOff>192012</xdr:colOff>
      <xdr:row>20</xdr:row>
      <xdr:rowOff>169939</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1115785</xdr:colOff>
      <xdr:row>21</xdr:row>
      <xdr:rowOff>70757</xdr:rowOff>
    </xdr:from>
    <xdr:to>
      <xdr:col>19</xdr:col>
      <xdr:colOff>190500</xdr:colOff>
      <xdr:row>35</xdr:row>
      <xdr:rowOff>160565</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167640</xdr:rowOff>
    </xdr:from>
    <xdr:to>
      <xdr:col>6</xdr:col>
      <xdr:colOff>15240</xdr:colOff>
      <xdr:row>39</xdr:row>
      <xdr:rowOff>15240</xdr:rowOff>
    </xdr:to>
    <xdr:sp macro="" textlink="">
      <xdr:nvSpPr>
        <xdr:cNvPr id="2" name="正方形/長方形 1">
          <a:extLst>
            <a:ext uri="{FF2B5EF4-FFF2-40B4-BE49-F238E27FC236}">
              <a16:creationId xmlns:a16="http://schemas.microsoft.com/office/drawing/2014/main" id="{902D57C5-D025-4534-BE68-CE31275495DD}"/>
            </a:ext>
          </a:extLst>
        </xdr:cNvPr>
        <xdr:cNvSpPr/>
      </xdr:nvSpPr>
      <xdr:spPr>
        <a:xfrm>
          <a:off x="0" y="167640"/>
          <a:ext cx="4145280" cy="585216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361950</xdr:colOff>
      <xdr:row>19</xdr:row>
      <xdr:rowOff>38100</xdr:rowOff>
    </xdr:from>
    <xdr:to>
      <xdr:col>3</xdr:col>
      <xdr:colOff>476250</xdr:colOff>
      <xdr:row>20</xdr:row>
      <xdr:rowOff>66675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057525" y="4829175"/>
          <a:ext cx="114300" cy="276225"/>
        </a:xfrm>
        <a:prstGeom prst="rect">
          <a:avLst/>
        </a:prstGeom>
        <a:noFill/>
        <a:ln w="9525">
          <a:noFill/>
          <a:miter lim="800000"/>
          <a:headEnd/>
          <a:tailEnd/>
        </a:ln>
      </xdr:spPr>
    </xdr:sp>
    <xdr:clientData/>
  </xdr:twoCellAnchor>
  <xdr:twoCellAnchor editAs="oneCell">
    <xdr:from>
      <xdr:col>15</xdr:col>
      <xdr:colOff>0</xdr:colOff>
      <xdr:row>19</xdr:row>
      <xdr:rowOff>38100</xdr:rowOff>
    </xdr:from>
    <xdr:to>
      <xdr:col>15</xdr:col>
      <xdr:colOff>114300</xdr:colOff>
      <xdr:row>20</xdr:row>
      <xdr:rowOff>66675</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6</xdr:col>
      <xdr:colOff>361950</xdr:colOff>
      <xdr:row>20</xdr:row>
      <xdr:rowOff>38100</xdr:rowOff>
    </xdr:from>
    <xdr:to>
      <xdr:col>6</xdr:col>
      <xdr:colOff>476250</xdr:colOff>
      <xdr:row>21</xdr:row>
      <xdr:rowOff>66675</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4695825" y="5076825"/>
          <a:ext cx="114300" cy="276225"/>
        </a:xfrm>
        <a:prstGeom prst="rect">
          <a:avLst/>
        </a:prstGeom>
        <a:noFill/>
        <a:ln w="9525">
          <a:noFill/>
          <a:miter lim="800000"/>
          <a:headEnd/>
          <a:tailEnd/>
        </a:ln>
      </xdr:spPr>
    </xdr:sp>
    <xdr:clientData/>
  </xdr:twoCellAnchor>
  <xdr:twoCellAnchor editAs="oneCell">
    <xdr:from>
      <xdr:col>15</xdr:col>
      <xdr:colOff>0</xdr:colOff>
      <xdr:row>20</xdr:row>
      <xdr:rowOff>38100</xdr:rowOff>
    </xdr:from>
    <xdr:to>
      <xdr:col>15</xdr:col>
      <xdr:colOff>114300</xdr:colOff>
      <xdr:row>21</xdr:row>
      <xdr:rowOff>66675</xdr:rowOff>
    </xdr:to>
    <xdr:sp macro="" textlink="">
      <xdr:nvSpPr>
        <xdr:cNvPr id="12" name="Text Box 11">
          <a:extLst>
            <a:ext uri="{FF2B5EF4-FFF2-40B4-BE49-F238E27FC236}">
              <a16:creationId xmlns:a16="http://schemas.microsoft.com/office/drawing/2014/main" id="{00000000-0008-0000-0800-00000C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3" name="Text Box 12">
          <a:extLst>
            <a:ext uri="{FF2B5EF4-FFF2-40B4-BE49-F238E27FC236}">
              <a16:creationId xmlns:a16="http://schemas.microsoft.com/office/drawing/2014/main" id="{00000000-0008-0000-0800-00000D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4" name="Text Box 13">
          <a:extLst>
            <a:ext uri="{FF2B5EF4-FFF2-40B4-BE49-F238E27FC236}">
              <a16:creationId xmlns:a16="http://schemas.microsoft.com/office/drawing/2014/main" id="{00000000-0008-0000-0800-00000E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5" name="Text Box 14">
          <a:extLst>
            <a:ext uri="{FF2B5EF4-FFF2-40B4-BE49-F238E27FC236}">
              <a16:creationId xmlns:a16="http://schemas.microsoft.com/office/drawing/2014/main" id="{00000000-0008-0000-0800-00000F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6" name="Text Box 15">
          <a:extLst>
            <a:ext uri="{FF2B5EF4-FFF2-40B4-BE49-F238E27FC236}">
              <a16:creationId xmlns:a16="http://schemas.microsoft.com/office/drawing/2014/main" id="{00000000-0008-0000-0800-000010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7" name="Text Box 16">
          <a:extLst>
            <a:ext uri="{FF2B5EF4-FFF2-40B4-BE49-F238E27FC236}">
              <a16:creationId xmlns:a16="http://schemas.microsoft.com/office/drawing/2014/main" id="{00000000-0008-0000-0800-000011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8" name="Text Box 17">
          <a:extLst>
            <a:ext uri="{FF2B5EF4-FFF2-40B4-BE49-F238E27FC236}">
              <a16:creationId xmlns:a16="http://schemas.microsoft.com/office/drawing/2014/main" id="{00000000-0008-0000-0800-000012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19" name="Text Box 18">
          <a:extLst>
            <a:ext uri="{FF2B5EF4-FFF2-40B4-BE49-F238E27FC236}">
              <a16:creationId xmlns:a16="http://schemas.microsoft.com/office/drawing/2014/main" id="{00000000-0008-0000-0800-000013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15</xdr:col>
      <xdr:colOff>0</xdr:colOff>
      <xdr:row>20</xdr:row>
      <xdr:rowOff>38100</xdr:rowOff>
    </xdr:from>
    <xdr:to>
      <xdr:col>15</xdr:col>
      <xdr:colOff>114300</xdr:colOff>
      <xdr:row>21</xdr:row>
      <xdr:rowOff>66675</xdr:rowOff>
    </xdr:to>
    <xdr:sp macro="" textlink="">
      <xdr:nvSpPr>
        <xdr:cNvPr id="20" name="Text Box 20">
          <a:extLst>
            <a:ext uri="{FF2B5EF4-FFF2-40B4-BE49-F238E27FC236}">
              <a16:creationId xmlns:a16="http://schemas.microsoft.com/office/drawing/2014/main" id="{00000000-0008-0000-0800-000014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21" name="Text Box 21">
          <a:extLst>
            <a:ext uri="{FF2B5EF4-FFF2-40B4-BE49-F238E27FC236}">
              <a16:creationId xmlns:a16="http://schemas.microsoft.com/office/drawing/2014/main" id="{00000000-0008-0000-0800-000015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22" name="Text Box 22">
          <a:extLst>
            <a:ext uri="{FF2B5EF4-FFF2-40B4-BE49-F238E27FC236}">
              <a16:creationId xmlns:a16="http://schemas.microsoft.com/office/drawing/2014/main" id="{00000000-0008-0000-0800-000016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23" name="Text Box 23">
          <a:extLst>
            <a:ext uri="{FF2B5EF4-FFF2-40B4-BE49-F238E27FC236}">
              <a16:creationId xmlns:a16="http://schemas.microsoft.com/office/drawing/2014/main" id="{00000000-0008-0000-0800-000017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24" name="Text Box 24">
          <a:extLst>
            <a:ext uri="{FF2B5EF4-FFF2-40B4-BE49-F238E27FC236}">
              <a16:creationId xmlns:a16="http://schemas.microsoft.com/office/drawing/2014/main" id="{00000000-0008-0000-0800-000018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25" name="Text Box 25">
          <a:extLst>
            <a:ext uri="{FF2B5EF4-FFF2-40B4-BE49-F238E27FC236}">
              <a16:creationId xmlns:a16="http://schemas.microsoft.com/office/drawing/2014/main" id="{00000000-0008-0000-0800-000019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23</xdr:row>
      <xdr:rowOff>10817</xdr:rowOff>
    </xdr:to>
    <xdr:sp macro="" textlink="">
      <xdr:nvSpPr>
        <xdr:cNvPr id="26" name="Text Box 26">
          <a:extLst>
            <a:ext uri="{FF2B5EF4-FFF2-40B4-BE49-F238E27FC236}">
              <a16:creationId xmlns:a16="http://schemas.microsoft.com/office/drawing/2014/main" id="{00000000-0008-0000-0800-00001A000000}"/>
            </a:ext>
          </a:extLst>
        </xdr:cNvPr>
        <xdr:cNvSpPr txBox="1">
          <a:spLocks noChangeArrowheads="1"/>
        </xdr:cNvSpPr>
      </xdr:nvSpPr>
      <xdr:spPr bwMode="auto">
        <a:xfrm>
          <a:off x="30575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27" name="Text Box 27">
          <a:extLst>
            <a:ext uri="{FF2B5EF4-FFF2-40B4-BE49-F238E27FC236}">
              <a16:creationId xmlns:a16="http://schemas.microsoft.com/office/drawing/2014/main" id="{00000000-0008-0000-0800-00001B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23</xdr:row>
      <xdr:rowOff>10817</xdr:rowOff>
    </xdr:to>
    <xdr:sp macro="" textlink="">
      <xdr:nvSpPr>
        <xdr:cNvPr id="28" name="Text Box 28">
          <a:extLst>
            <a:ext uri="{FF2B5EF4-FFF2-40B4-BE49-F238E27FC236}">
              <a16:creationId xmlns:a16="http://schemas.microsoft.com/office/drawing/2014/main" id="{00000000-0008-0000-0800-00001C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29" name="Text Box 29">
          <a:extLst>
            <a:ext uri="{FF2B5EF4-FFF2-40B4-BE49-F238E27FC236}">
              <a16:creationId xmlns:a16="http://schemas.microsoft.com/office/drawing/2014/main" id="{00000000-0008-0000-0800-00001D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0" name="Text Box 30">
          <a:extLst>
            <a:ext uri="{FF2B5EF4-FFF2-40B4-BE49-F238E27FC236}">
              <a16:creationId xmlns:a16="http://schemas.microsoft.com/office/drawing/2014/main" id="{00000000-0008-0000-0800-00001E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1" name="Text Box 31">
          <a:extLst>
            <a:ext uri="{FF2B5EF4-FFF2-40B4-BE49-F238E27FC236}">
              <a16:creationId xmlns:a16="http://schemas.microsoft.com/office/drawing/2014/main" id="{00000000-0008-0000-0800-00001F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2" name="Text Box 32">
          <a:extLst>
            <a:ext uri="{FF2B5EF4-FFF2-40B4-BE49-F238E27FC236}">
              <a16:creationId xmlns:a16="http://schemas.microsoft.com/office/drawing/2014/main" id="{00000000-0008-0000-0800-000020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3" name="Text Box 33">
          <a:extLst>
            <a:ext uri="{FF2B5EF4-FFF2-40B4-BE49-F238E27FC236}">
              <a16:creationId xmlns:a16="http://schemas.microsoft.com/office/drawing/2014/main" id="{00000000-0008-0000-0800-000021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4" name="Text Box 34">
          <a:extLst>
            <a:ext uri="{FF2B5EF4-FFF2-40B4-BE49-F238E27FC236}">
              <a16:creationId xmlns:a16="http://schemas.microsoft.com/office/drawing/2014/main" id="{00000000-0008-0000-0800-000022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0</xdr:col>
      <xdr:colOff>19050</xdr:colOff>
      <xdr:row>53</xdr:row>
      <xdr:rowOff>0</xdr:rowOff>
    </xdr:from>
    <xdr:to>
      <xdr:col>12</xdr:col>
      <xdr:colOff>532255</xdr:colOff>
      <xdr:row>67</xdr:row>
      <xdr:rowOff>1372</xdr:rowOff>
    </xdr:to>
    <xdr:sp macro="" textlink="">
      <xdr:nvSpPr>
        <xdr:cNvPr id="35" name="Text Box 35">
          <a:extLst>
            <a:ext uri="{FF2B5EF4-FFF2-40B4-BE49-F238E27FC236}">
              <a16:creationId xmlns:a16="http://schemas.microsoft.com/office/drawing/2014/main" id="{00000000-0008-0000-0800-000023000000}"/>
            </a:ext>
          </a:extLst>
        </xdr:cNvPr>
        <xdr:cNvSpPr txBox="1">
          <a:spLocks noChangeArrowheads="1"/>
        </xdr:cNvSpPr>
      </xdr:nvSpPr>
      <xdr:spPr bwMode="auto">
        <a:xfrm>
          <a:off x="19050" y="10772775"/>
          <a:ext cx="11163526" cy="2401672"/>
        </a:xfrm>
        <a:prstGeom prst="rect">
          <a:avLst/>
        </a:prstGeom>
        <a:solidFill>
          <a:srgbClr val="FFFFFF"/>
        </a:solidFill>
        <a:ln w="38100" cmpd="dbl">
          <a:solidFill>
            <a:srgbClr val="000000"/>
          </a:solidFill>
          <a:miter lim="800000"/>
          <a:headEnd/>
          <a:tailEnd/>
        </a:ln>
        <a:effectLst>
          <a:outerShdw dist="35921" dir="2700000" algn="ctr" rotWithShape="0">
            <a:srgbClr val="808080"/>
          </a:outerShdw>
        </a:effectLst>
      </xdr:spPr>
      <xdr:txBody>
        <a:bodyPr vertOverflow="clip" wrap="square" lIns="18288" tIns="18288" rIns="0" bIns="18288" anchor="ctr" upright="1"/>
        <a:lstStyle/>
        <a:p>
          <a:pPr algn="l" rtl="0">
            <a:defRPr sz="1000"/>
          </a:pPr>
          <a:r>
            <a:rPr lang="ja-JP" altLang="en-US" sz="1100" b="0" i="0" strike="noStrike">
              <a:solidFill>
                <a:srgbClr val="000000"/>
              </a:solidFill>
              <a:latin typeface="ＭＳ Ｐゴシック"/>
              <a:ea typeface="ＭＳ Ｐゴシック"/>
            </a:rPr>
            <a:t>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コメント</a:t>
          </a:r>
        </a:p>
      </xdr:txBody>
    </xdr:sp>
    <xdr:clientData/>
  </xdr:twoCellAnchor>
  <xdr:twoCellAnchor editAs="oneCell">
    <xdr:from>
      <xdr:col>15</xdr:col>
      <xdr:colOff>0</xdr:colOff>
      <xdr:row>21</xdr:row>
      <xdr:rowOff>0</xdr:rowOff>
    </xdr:from>
    <xdr:to>
      <xdr:col>15</xdr:col>
      <xdr:colOff>114300</xdr:colOff>
      <xdr:row>23</xdr:row>
      <xdr:rowOff>10817</xdr:rowOff>
    </xdr:to>
    <xdr:sp macro="" textlink="">
      <xdr:nvSpPr>
        <xdr:cNvPr id="36" name="Text Box 38">
          <a:extLst>
            <a:ext uri="{FF2B5EF4-FFF2-40B4-BE49-F238E27FC236}">
              <a16:creationId xmlns:a16="http://schemas.microsoft.com/office/drawing/2014/main" id="{00000000-0008-0000-0800-000024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37" name="Text Box 39">
          <a:extLst>
            <a:ext uri="{FF2B5EF4-FFF2-40B4-BE49-F238E27FC236}">
              <a16:creationId xmlns:a16="http://schemas.microsoft.com/office/drawing/2014/main" id="{00000000-0008-0000-0800-000025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xdr:from>
      <xdr:col>16</xdr:col>
      <xdr:colOff>142875</xdr:colOff>
      <xdr:row>1</xdr:row>
      <xdr:rowOff>0</xdr:rowOff>
    </xdr:from>
    <xdr:to>
      <xdr:col>22</xdr:col>
      <xdr:colOff>209550</xdr:colOff>
      <xdr:row>21</xdr:row>
      <xdr:rowOff>0</xdr:rowOff>
    </xdr:to>
    <xdr:graphicFrame macro="">
      <xdr:nvGraphicFramePr>
        <xdr:cNvPr id="38" name="Chart 40">
          <a:extLst>
            <a:ext uri="{FF2B5EF4-FFF2-40B4-BE49-F238E27FC236}">
              <a16:creationId xmlns:a16="http://schemas.microsoft.com/office/drawing/2014/main" id="{00000000-0008-0000-08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361950</xdr:colOff>
      <xdr:row>19</xdr:row>
      <xdr:rowOff>38100</xdr:rowOff>
    </xdr:from>
    <xdr:to>
      <xdr:col>3</xdr:col>
      <xdr:colOff>476250</xdr:colOff>
      <xdr:row>20</xdr:row>
      <xdr:rowOff>66675</xdr:rowOff>
    </xdr:to>
    <xdr:sp macro="" textlink="">
      <xdr:nvSpPr>
        <xdr:cNvPr id="39" name="Text Box 41">
          <a:extLst>
            <a:ext uri="{FF2B5EF4-FFF2-40B4-BE49-F238E27FC236}">
              <a16:creationId xmlns:a16="http://schemas.microsoft.com/office/drawing/2014/main" id="{00000000-0008-0000-0800-000027000000}"/>
            </a:ext>
          </a:extLst>
        </xdr:cNvPr>
        <xdr:cNvSpPr txBox="1">
          <a:spLocks noChangeArrowheads="1"/>
        </xdr:cNvSpPr>
      </xdr:nvSpPr>
      <xdr:spPr bwMode="auto">
        <a:xfrm>
          <a:off x="3057525" y="4829175"/>
          <a:ext cx="114300" cy="276225"/>
        </a:xfrm>
        <a:prstGeom prst="rect">
          <a:avLst/>
        </a:prstGeom>
        <a:noFill/>
        <a:ln w="9525">
          <a:noFill/>
          <a:miter lim="800000"/>
          <a:headEnd/>
          <a:tailEnd/>
        </a:ln>
      </xdr:spPr>
    </xdr:sp>
    <xdr:clientData/>
  </xdr:twoCellAnchor>
  <xdr:twoCellAnchor editAs="oneCell">
    <xdr:from>
      <xdr:col>6</xdr:col>
      <xdr:colOff>361950</xdr:colOff>
      <xdr:row>19</xdr:row>
      <xdr:rowOff>38100</xdr:rowOff>
    </xdr:from>
    <xdr:to>
      <xdr:col>6</xdr:col>
      <xdr:colOff>476250</xdr:colOff>
      <xdr:row>20</xdr:row>
      <xdr:rowOff>66675</xdr:rowOff>
    </xdr:to>
    <xdr:sp macro="" textlink="">
      <xdr:nvSpPr>
        <xdr:cNvPr id="40" name="Text Box 42">
          <a:extLst>
            <a:ext uri="{FF2B5EF4-FFF2-40B4-BE49-F238E27FC236}">
              <a16:creationId xmlns:a16="http://schemas.microsoft.com/office/drawing/2014/main" id="{00000000-0008-0000-0800-000028000000}"/>
            </a:ext>
          </a:extLst>
        </xdr:cNvPr>
        <xdr:cNvSpPr txBox="1">
          <a:spLocks noChangeArrowheads="1"/>
        </xdr:cNvSpPr>
      </xdr:nvSpPr>
      <xdr:spPr bwMode="auto">
        <a:xfrm>
          <a:off x="4695825" y="4829175"/>
          <a:ext cx="114300" cy="276225"/>
        </a:xfrm>
        <a:prstGeom prst="rect">
          <a:avLst/>
        </a:prstGeom>
        <a:noFill/>
        <a:ln w="9525">
          <a:noFill/>
          <a:miter lim="800000"/>
          <a:headEnd/>
          <a:tailEnd/>
        </a:ln>
      </xdr:spPr>
    </xdr:sp>
    <xdr:clientData/>
  </xdr:twoCellAnchor>
  <xdr:twoCellAnchor editAs="oneCell">
    <xdr:from>
      <xdr:col>15</xdr:col>
      <xdr:colOff>0</xdr:colOff>
      <xdr:row>19</xdr:row>
      <xdr:rowOff>38100</xdr:rowOff>
    </xdr:from>
    <xdr:to>
      <xdr:col>15</xdr:col>
      <xdr:colOff>114300</xdr:colOff>
      <xdr:row>20</xdr:row>
      <xdr:rowOff>66675</xdr:rowOff>
    </xdr:to>
    <xdr:sp macro="" textlink="">
      <xdr:nvSpPr>
        <xdr:cNvPr id="41" name="Text Box 43">
          <a:extLst>
            <a:ext uri="{FF2B5EF4-FFF2-40B4-BE49-F238E27FC236}">
              <a16:creationId xmlns:a16="http://schemas.microsoft.com/office/drawing/2014/main" id="{00000000-0008-0000-0800-000029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2" name="Text Box 44">
          <a:extLst>
            <a:ext uri="{FF2B5EF4-FFF2-40B4-BE49-F238E27FC236}">
              <a16:creationId xmlns:a16="http://schemas.microsoft.com/office/drawing/2014/main" id="{00000000-0008-0000-0800-00002A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3" name="Text Box 45">
          <a:extLst>
            <a:ext uri="{FF2B5EF4-FFF2-40B4-BE49-F238E27FC236}">
              <a16:creationId xmlns:a16="http://schemas.microsoft.com/office/drawing/2014/main" id="{00000000-0008-0000-0800-00002B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4" name="Text Box 46">
          <a:extLst>
            <a:ext uri="{FF2B5EF4-FFF2-40B4-BE49-F238E27FC236}">
              <a16:creationId xmlns:a16="http://schemas.microsoft.com/office/drawing/2014/main" id="{00000000-0008-0000-0800-00002C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5" name="Text Box 47">
          <a:extLst>
            <a:ext uri="{FF2B5EF4-FFF2-40B4-BE49-F238E27FC236}">
              <a16:creationId xmlns:a16="http://schemas.microsoft.com/office/drawing/2014/main" id="{00000000-0008-0000-0800-00002D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16</xdr:col>
      <xdr:colOff>0</xdr:colOff>
      <xdr:row>19</xdr:row>
      <xdr:rowOff>38100</xdr:rowOff>
    </xdr:from>
    <xdr:to>
      <xdr:col>16</xdr:col>
      <xdr:colOff>114300</xdr:colOff>
      <xdr:row>20</xdr:row>
      <xdr:rowOff>66675</xdr:rowOff>
    </xdr:to>
    <xdr:sp macro="" textlink="">
      <xdr:nvSpPr>
        <xdr:cNvPr id="46" name="Text Box 48">
          <a:extLst>
            <a:ext uri="{FF2B5EF4-FFF2-40B4-BE49-F238E27FC236}">
              <a16:creationId xmlns:a16="http://schemas.microsoft.com/office/drawing/2014/main" id="{00000000-0008-0000-0800-00002E000000}"/>
            </a:ext>
          </a:extLst>
        </xdr:cNvPr>
        <xdr:cNvSpPr txBox="1">
          <a:spLocks noChangeArrowheads="1"/>
        </xdr:cNvSpPr>
      </xdr:nvSpPr>
      <xdr:spPr bwMode="auto">
        <a:xfrm>
          <a:off x="9048750" y="4829175"/>
          <a:ext cx="114300" cy="276225"/>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47" name="Text Box 50">
          <a:extLst>
            <a:ext uri="{FF2B5EF4-FFF2-40B4-BE49-F238E27FC236}">
              <a16:creationId xmlns:a16="http://schemas.microsoft.com/office/drawing/2014/main" id="{00000000-0008-0000-0800-00002F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15</xdr:col>
      <xdr:colOff>0</xdr:colOff>
      <xdr:row>20</xdr:row>
      <xdr:rowOff>38100</xdr:rowOff>
    </xdr:from>
    <xdr:to>
      <xdr:col>15</xdr:col>
      <xdr:colOff>114300</xdr:colOff>
      <xdr:row>21</xdr:row>
      <xdr:rowOff>66675</xdr:rowOff>
    </xdr:to>
    <xdr:sp macro="" textlink="">
      <xdr:nvSpPr>
        <xdr:cNvPr id="48" name="Text Box 52">
          <a:extLst>
            <a:ext uri="{FF2B5EF4-FFF2-40B4-BE49-F238E27FC236}">
              <a16:creationId xmlns:a16="http://schemas.microsoft.com/office/drawing/2014/main" id="{00000000-0008-0000-0800-000030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49" name="Text Box 53">
          <a:extLst>
            <a:ext uri="{FF2B5EF4-FFF2-40B4-BE49-F238E27FC236}">
              <a16:creationId xmlns:a16="http://schemas.microsoft.com/office/drawing/2014/main" id="{00000000-0008-0000-0800-000031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0" name="Text Box 54">
          <a:extLst>
            <a:ext uri="{FF2B5EF4-FFF2-40B4-BE49-F238E27FC236}">
              <a16:creationId xmlns:a16="http://schemas.microsoft.com/office/drawing/2014/main" id="{00000000-0008-0000-0800-000032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1" name="Text Box 55">
          <a:extLst>
            <a:ext uri="{FF2B5EF4-FFF2-40B4-BE49-F238E27FC236}">
              <a16:creationId xmlns:a16="http://schemas.microsoft.com/office/drawing/2014/main" id="{00000000-0008-0000-0800-000033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2" name="Text Box 56">
          <a:extLst>
            <a:ext uri="{FF2B5EF4-FFF2-40B4-BE49-F238E27FC236}">
              <a16:creationId xmlns:a16="http://schemas.microsoft.com/office/drawing/2014/main" id="{00000000-0008-0000-0800-000034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3" name="Text Box 57">
          <a:extLst>
            <a:ext uri="{FF2B5EF4-FFF2-40B4-BE49-F238E27FC236}">
              <a16:creationId xmlns:a16="http://schemas.microsoft.com/office/drawing/2014/main" id="{00000000-0008-0000-0800-000035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4" name="Text Box 58">
          <a:extLst>
            <a:ext uri="{FF2B5EF4-FFF2-40B4-BE49-F238E27FC236}">
              <a16:creationId xmlns:a16="http://schemas.microsoft.com/office/drawing/2014/main" id="{00000000-0008-0000-0800-000036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55" name="Text Box 59">
          <a:extLst>
            <a:ext uri="{FF2B5EF4-FFF2-40B4-BE49-F238E27FC236}">
              <a16:creationId xmlns:a16="http://schemas.microsoft.com/office/drawing/2014/main" id="{00000000-0008-0000-0800-000037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6" name="Text Box 62">
          <a:extLst>
            <a:ext uri="{FF2B5EF4-FFF2-40B4-BE49-F238E27FC236}">
              <a16:creationId xmlns:a16="http://schemas.microsoft.com/office/drawing/2014/main" id="{00000000-0008-0000-0800-000038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7" name="Text Box 63">
          <a:extLst>
            <a:ext uri="{FF2B5EF4-FFF2-40B4-BE49-F238E27FC236}">
              <a16:creationId xmlns:a16="http://schemas.microsoft.com/office/drawing/2014/main" id="{00000000-0008-0000-0800-000039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8" name="Text Box 64">
          <a:extLst>
            <a:ext uri="{FF2B5EF4-FFF2-40B4-BE49-F238E27FC236}">
              <a16:creationId xmlns:a16="http://schemas.microsoft.com/office/drawing/2014/main" id="{00000000-0008-0000-0800-00003A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59" name="Text Box 65">
          <a:extLst>
            <a:ext uri="{FF2B5EF4-FFF2-40B4-BE49-F238E27FC236}">
              <a16:creationId xmlns:a16="http://schemas.microsoft.com/office/drawing/2014/main" id="{00000000-0008-0000-0800-00003B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23</xdr:row>
      <xdr:rowOff>10817</xdr:rowOff>
    </xdr:to>
    <xdr:sp macro="" textlink="">
      <xdr:nvSpPr>
        <xdr:cNvPr id="60" name="Text Box 67">
          <a:extLst>
            <a:ext uri="{FF2B5EF4-FFF2-40B4-BE49-F238E27FC236}">
              <a16:creationId xmlns:a16="http://schemas.microsoft.com/office/drawing/2014/main" id="{00000000-0008-0000-0800-00003C000000}"/>
            </a:ext>
          </a:extLst>
        </xdr:cNvPr>
        <xdr:cNvSpPr txBox="1">
          <a:spLocks noChangeArrowheads="1"/>
        </xdr:cNvSpPr>
      </xdr:nvSpPr>
      <xdr:spPr bwMode="auto">
        <a:xfrm>
          <a:off x="30575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61" name="Text Box 68">
          <a:extLst>
            <a:ext uri="{FF2B5EF4-FFF2-40B4-BE49-F238E27FC236}">
              <a16:creationId xmlns:a16="http://schemas.microsoft.com/office/drawing/2014/main" id="{00000000-0008-0000-0800-00003D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23</xdr:row>
      <xdr:rowOff>10817</xdr:rowOff>
    </xdr:to>
    <xdr:sp macro="" textlink="">
      <xdr:nvSpPr>
        <xdr:cNvPr id="62" name="Text Box 69">
          <a:extLst>
            <a:ext uri="{FF2B5EF4-FFF2-40B4-BE49-F238E27FC236}">
              <a16:creationId xmlns:a16="http://schemas.microsoft.com/office/drawing/2014/main" id="{00000000-0008-0000-0800-00003E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3" name="Text Box 70">
          <a:extLst>
            <a:ext uri="{FF2B5EF4-FFF2-40B4-BE49-F238E27FC236}">
              <a16:creationId xmlns:a16="http://schemas.microsoft.com/office/drawing/2014/main" id="{00000000-0008-0000-0800-00003F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4" name="Text Box 71">
          <a:extLst>
            <a:ext uri="{FF2B5EF4-FFF2-40B4-BE49-F238E27FC236}">
              <a16:creationId xmlns:a16="http://schemas.microsoft.com/office/drawing/2014/main" id="{00000000-0008-0000-0800-000040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5" name="Text Box 72">
          <a:extLst>
            <a:ext uri="{FF2B5EF4-FFF2-40B4-BE49-F238E27FC236}">
              <a16:creationId xmlns:a16="http://schemas.microsoft.com/office/drawing/2014/main" id="{00000000-0008-0000-0800-000041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6" name="Text Box 73">
          <a:extLst>
            <a:ext uri="{FF2B5EF4-FFF2-40B4-BE49-F238E27FC236}">
              <a16:creationId xmlns:a16="http://schemas.microsoft.com/office/drawing/2014/main" id="{00000000-0008-0000-0800-000042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7" name="Text Box 74">
          <a:extLst>
            <a:ext uri="{FF2B5EF4-FFF2-40B4-BE49-F238E27FC236}">
              <a16:creationId xmlns:a16="http://schemas.microsoft.com/office/drawing/2014/main" id="{00000000-0008-0000-0800-000043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23</xdr:row>
      <xdr:rowOff>10817</xdr:rowOff>
    </xdr:to>
    <xdr:sp macro="" textlink="">
      <xdr:nvSpPr>
        <xdr:cNvPr id="68" name="Text Box 75">
          <a:extLst>
            <a:ext uri="{FF2B5EF4-FFF2-40B4-BE49-F238E27FC236}">
              <a16:creationId xmlns:a16="http://schemas.microsoft.com/office/drawing/2014/main" id="{00000000-0008-0000-0800-000044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23</xdr:row>
      <xdr:rowOff>10817</xdr:rowOff>
    </xdr:to>
    <xdr:sp macro="" textlink="">
      <xdr:nvSpPr>
        <xdr:cNvPr id="69" name="Text Box 76">
          <a:extLst>
            <a:ext uri="{FF2B5EF4-FFF2-40B4-BE49-F238E27FC236}">
              <a16:creationId xmlns:a16="http://schemas.microsoft.com/office/drawing/2014/main" id="{00000000-0008-0000-0800-000045000000}"/>
            </a:ext>
          </a:extLst>
        </xdr:cNvPr>
        <xdr:cNvSpPr txBox="1">
          <a:spLocks noChangeArrowheads="1"/>
        </xdr:cNvSpPr>
      </xdr:nvSpPr>
      <xdr:spPr bwMode="auto">
        <a:xfrm>
          <a:off x="30575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70" name="Text Box 77">
          <a:extLst>
            <a:ext uri="{FF2B5EF4-FFF2-40B4-BE49-F238E27FC236}">
              <a16:creationId xmlns:a16="http://schemas.microsoft.com/office/drawing/2014/main" id="{00000000-0008-0000-0800-000046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71" name="Text Box 78">
          <a:extLst>
            <a:ext uri="{FF2B5EF4-FFF2-40B4-BE49-F238E27FC236}">
              <a16:creationId xmlns:a16="http://schemas.microsoft.com/office/drawing/2014/main" id="{00000000-0008-0000-0800-000047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72" name="Text Box 79">
          <a:extLst>
            <a:ext uri="{FF2B5EF4-FFF2-40B4-BE49-F238E27FC236}">
              <a16:creationId xmlns:a16="http://schemas.microsoft.com/office/drawing/2014/main" id="{00000000-0008-0000-0800-000048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23</xdr:row>
      <xdr:rowOff>10817</xdr:rowOff>
    </xdr:to>
    <xdr:sp macro="" textlink="">
      <xdr:nvSpPr>
        <xdr:cNvPr id="73" name="Text Box 80">
          <a:extLst>
            <a:ext uri="{FF2B5EF4-FFF2-40B4-BE49-F238E27FC236}">
              <a16:creationId xmlns:a16="http://schemas.microsoft.com/office/drawing/2014/main" id="{00000000-0008-0000-0800-000049000000}"/>
            </a:ext>
          </a:extLst>
        </xdr:cNvPr>
        <xdr:cNvSpPr txBox="1">
          <a:spLocks noChangeArrowheads="1"/>
        </xdr:cNvSpPr>
      </xdr:nvSpPr>
      <xdr:spPr bwMode="auto">
        <a:xfrm>
          <a:off x="9048750" y="5286375"/>
          <a:ext cx="114300" cy="353717"/>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74" name="Text Box 1">
          <a:extLst>
            <a:ext uri="{FF2B5EF4-FFF2-40B4-BE49-F238E27FC236}">
              <a16:creationId xmlns:a16="http://schemas.microsoft.com/office/drawing/2014/main" id="{00000000-0008-0000-0800-00004A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15</xdr:col>
      <xdr:colOff>0</xdr:colOff>
      <xdr:row>20</xdr:row>
      <xdr:rowOff>38100</xdr:rowOff>
    </xdr:from>
    <xdr:to>
      <xdr:col>15</xdr:col>
      <xdr:colOff>114300</xdr:colOff>
      <xdr:row>21</xdr:row>
      <xdr:rowOff>66675</xdr:rowOff>
    </xdr:to>
    <xdr:sp macro="" textlink="">
      <xdr:nvSpPr>
        <xdr:cNvPr id="75" name="Text Box 2">
          <a:extLst>
            <a:ext uri="{FF2B5EF4-FFF2-40B4-BE49-F238E27FC236}">
              <a16:creationId xmlns:a16="http://schemas.microsoft.com/office/drawing/2014/main" id="{00000000-0008-0000-0800-00004B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76" name="Text Box 3">
          <a:extLst>
            <a:ext uri="{FF2B5EF4-FFF2-40B4-BE49-F238E27FC236}">
              <a16:creationId xmlns:a16="http://schemas.microsoft.com/office/drawing/2014/main" id="{00000000-0008-0000-0800-00004C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77" name="Text Box 4">
          <a:extLst>
            <a:ext uri="{FF2B5EF4-FFF2-40B4-BE49-F238E27FC236}">
              <a16:creationId xmlns:a16="http://schemas.microsoft.com/office/drawing/2014/main" id="{00000000-0008-0000-0800-00004D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78" name="Text Box 5">
          <a:extLst>
            <a:ext uri="{FF2B5EF4-FFF2-40B4-BE49-F238E27FC236}">
              <a16:creationId xmlns:a16="http://schemas.microsoft.com/office/drawing/2014/main" id="{00000000-0008-0000-0800-00004E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79" name="Text Box 6">
          <a:extLst>
            <a:ext uri="{FF2B5EF4-FFF2-40B4-BE49-F238E27FC236}">
              <a16:creationId xmlns:a16="http://schemas.microsoft.com/office/drawing/2014/main" id="{00000000-0008-0000-0800-00004F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80" name="Text Box 7">
          <a:extLst>
            <a:ext uri="{FF2B5EF4-FFF2-40B4-BE49-F238E27FC236}">
              <a16:creationId xmlns:a16="http://schemas.microsoft.com/office/drawing/2014/main" id="{00000000-0008-0000-0800-000050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81" name="Text Box 8">
          <a:extLst>
            <a:ext uri="{FF2B5EF4-FFF2-40B4-BE49-F238E27FC236}">
              <a16:creationId xmlns:a16="http://schemas.microsoft.com/office/drawing/2014/main" id="{00000000-0008-0000-0800-000051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82" name="Text Box 9">
          <a:extLst>
            <a:ext uri="{FF2B5EF4-FFF2-40B4-BE49-F238E27FC236}">
              <a16:creationId xmlns:a16="http://schemas.microsoft.com/office/drawing/2014/main" id="{00000000-0008-0000-0800-000052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83" name="Text Box 10">
          <a:extLst>
            <a:ext uri="{FF2B5EF4-FFF2-40B4-BE49-F238E27FC236}">
              <a16:creationId xmlns:a16="http://schemas.microsoft.com/office/drawing/2014/main" id="{00000000-0008-0000-0800-000053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22</xdr:row>
      <xdr:rowOff>93151</xdr:rowOff>
    </xdr:to>
    <xdr:sp macro="" textlink="">
      <xdr:nvSpPr>
        <xdr:cNvPr id="84" name="Text Box 11">
          <a:extLst>
            <a:ext uri="{FF2B5EF4-FFF2-40B4-BE49-F238E27FC236}">
              <a16:creationId xmlns:a16="http://schemas.microsoft.com/office/drawing/2014/main" id="{00000000-0008-0000-0800-000054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85" name="Text Box 12">
          <a:extLst>
            <a:ext uri="{FF2B5EF4-FFF2-40B4-BE49-F238E27FC236}">
              <a16:creationId xmlns:a16="http://schemas.microsoft.com/office/drawing/2014/main" id="{00000000-0008-0000-0800-000055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86" name="Text Box 13">
          <a:extLst>
            <a:ext uri="{FF2B5EF4-FFF2-40B4-BE49-F238E27FC236}">
              <a16:creationId xmlns:a16="http://schemas.microsoft.com/office/drawing/2014/main" id="{00000000-0008-0000-0800-000056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87" name="Text Box 14">
          <a:extLst>
            <a:ext uri="{FF2B5EF4-FFF2-40B4-BE49-F238E27FC236}">
              <a16:creationId xmlns:a16="http://schemas.microsoft.com/office/drawing/2014/main" id="{00000000-0008-0000-0800-000057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88" name="Text Box 15">
          <a:extLst>
            <a:ext uri="{FF2B5EF4-FFF2-40B4-BE49-F238E27FC236}">
              <a16:creationId xmlns:a16="http://schemas.microsoft.com/office/drawing/2014/main" id="{00000000-0008-0000-0800-000058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89" name="Text Box 16">
          <a:extLst>
            <a:ext uri="{FF2B5EF4-FFF2-40B4-BE49-F238E27FC236}">
              <a16:creationId xmlns:a16="http://schemas.microsoft.com/office/drawing/2014/main" id="{00000000-0008-0000-0800-000059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0" name="Text Box 17">
          <a:extLst>
            <a:ext uri="{FF2B5EF4-FFF2-40B4-BE49-F238E27FC236}">
              <a16:creationId xmlns:a16="http://schemas.microsoft.com/office/drawing/2014/main" id="{00000000-0008-0000-0800-00005A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91" name="Text Box 18">
          <a:extLst>
            <a:ext uri="{FF2B5EF4-FFF2-40B4-BE49-F238E27FC236}">
              <a16:creationId xmlns:a16="http://schemas.microsoft.com/office/drawing/2014/main" id="{00000000-0008-0000-0800-00005B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22</xdr:row>
      <xdr:rowOff>93151</xdr:rowOff>
    </xdr:to>
    <xdr:sp macro="" textlink="">
      <xdr:nvSpPr>
        <xdr:cNvPr id="92" name="Text Box 20">
          <a:extLst>
            <a:ext uri="{FF2B5EF4-FFF2-40B4-BE49-F238E27FC236}">
              <a16:creationId xmlns:a16="http://schemas.microsoft.com/office/drawing/2014/main" id="{00000000-0008-0000-0800-00005C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3" name="Text Box 21">
          <a:extLst>
            <a:ext uri="{FF2B5EF4-FFF2-40B4-BE49-F238E27FC236}">
              <a16:creationId xmlns:a16="http://schemas.microsoft.com/office/drawing/2014/main" id="{00000000-0008-0000-0800-00005D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4" name="Text Box 22">
          <a:extLst>
            <a:ext uri="{FF2B5EF4-FFF2-40B4-BE49-F238E27FC236}">
              <a16:creationId xmlns:a16="http://schemas.microsoft.com/office/drawing/2014/main" id="{00000000-0008-0000-0800-00005E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5" name="Text Box 23">
          <a:extLst>
            <a:ext uri="{FF2B5EF4-FFF2-40B4-BE49-F238E27FC236}">
              <a16:creationId xmlns:a16="http://schemas.microsoft.com/office/drawing/2014/main" id="{00000000-0008-0000-0800-00005F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6" name="Text Box 24">
          <a:extLst>
            <a:ext uri="{FF2B5EF4-FFF2-40B4-BE49-F238E27FC236}">
              <a16:creationId xmlns:a16="http://schemas.microsoft.com/office/drawing/2014/main" id="{00000000-0008-0000-0800-000060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97" name="Text Box 25">
          <a:extLst>
            <a:ext uri="{FF2B5EF4-FFF2-40B4-BE49-F238E27FC236}">
              <a16:creationId xmlns:a16="http://schemas.microsoft.com/office/drawing/2014/main" id="{00000000-0008-0000-0800-000061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3</xdr:col>
      <xdr:colOff>361950</xdr:colOff>
      <xdr:row>20</xdr:row>
      <xdr:rowOff>38100</xdr:rowOff>
    </xdr:from>
    <xdr:to>
      <xdr:col>3</xdr:col>
      <xdr:colOff>476250</xdr:colOff>
      <xdr:row>21</xdr:row>
      <xdr:rowOff>66675</xdr:rowOff>
    </xdr:to>
    <xdr:sp macro="" textlink="">
      <xdr:nvSpPr>
        <xdr:cNvPr id="98" name="Text Box 41">
          <a:extLst>
            <a:ext uri="{FF2B5EF4-FFF2-40B4-BE49-F238E27FC236}">
              <a16:creationId xmlns:a16="http://schemas.microsoft.com/office/drawing/2014/main" id="{00000000-0008-0000-0800-000062000000}"/>
            </a:ext>
          </a:extLst>
        </xdr:cNvPr>
        <xdr:cNvSpPr txBox="1">
          <a:spLocks noChangeArrowheads="1"/>
        </xdr:cNvSpPr>
      </xdr:nvSpPr>
      <xdr:spPr bwMode="auto">
        <a:xfrm>
          <a:off x="3057525" y="5076825"/>
          <a:ext cx="114300" cy="276225"/>
        </a:xfrm>
        <a:prstGeom prst="rect">
          <a:avLst/>
        </a:prstGeom>
        <a:noFill/>
        <a:ln w="9525">
          <a:noFill/>
          <a:miter lim="800000"/>
          <a:headEnd/>
          <a:tailEnd/>
        </a:ln>
      </xdr:spPr>
    </xdr:sp>
    <xdr:clientData/>
  </xdr:twoCellAnchor>
  <xdr:twoCellAnchor editAs="oneCell">
    <xdr:from>
      <xdr:col>6</xdr:col>
      <xdr:colOff>361950</xdr:colOff>
      <xdr:row>20</xdr:row>
      <xdr:rowOff>38100</xdr:rowOff>
    </xdr:from>
    <xdr:to>
      <xdr:col>6</xdr:col>
      <xdr:colOff>476250</xdr:colOff>
      <xdr:row>21</xdr:row>
      <xdr:rowOff>66675</xdr:rowOff>
    </xdr:to>
    <xdr:sp macro="" textlink="">
      <xdr:nvSpPr>
        <xdr:cNvPr id="99" name="Text Box 42">
          <a:extLst>
            <a:ext uri="{FF2B5EF4-FFF2-40B4-BE49-F238E27FC236}">
              <a16:creationId xmlns:a16="http://schemas.microsoft.com/office/drawing/2014/main" id="{00000000-0008-0000-0800-000063000000}"/>
            </a:ext>
          </a:extLst>
        </xdr:cNvPr>
        <xdr:cNvSpPr txBox="1">
          <a:spLocks noChangeArrowheads="1"/>
        </xdr:cNvSpPr>
      </xdr:nvSpPr>
      <xdr:spPr bwMode="auto">
        <a:xfrm>
          <a:off x="4695825" y="5076825"/>
          <a:ext cx="114300" cy="276225"/>
        </a:xfrm>
        <a:prstGeom prst="rect">
          <a:avLst/>
        </a:prstGeom>
        <a:noFill/>
        <a:ln w="9525">
          <a:noFill/>
          <a:miter lim="800000"/>
          <a:headEnd/>
          <a:tailEnd/>
        </a:ln>
      </xdr:spPr>
    </xdr:sp>
    <xdr:clientData/>
  </xdr:twoCellAnchor>
  <xdr:twoCellAnchor editAs="oneCell">
    <xdr:from>
      <xdr:col>15</xdr:col>
      <xdr:colOff>0</xdr:colOff>
      <xdr:row>20</xdr:row>
      <xdr:rowOff>38100</xdr:rowOff>
    </xdr:from>
    <xdr:to>
      <xdr:col>15</xdr:col>
      <xdr:colOff>114300</xdr:colOff>
      <xdr:row>21</xdr:row>
      <xdr:rowOff>66675</xdr:rowOff>
    </xdr:to>
    <xdr:sp macro="" textlink="">
      <xdr:nvSpPr>
        <xdr:cNvPr id="100" name="Text Box 43">
          <a:extLst>
            <a:ext uri="{FF2B5EF4-FFF2-40B4-BE49-F238E27FC236}">
              <a16:creationId xmlns:a16="http://schemas.microsoft.com/office/drawing/2014/main" id="{00000000-0008-0000-0800-000064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01" name="Text Box 44">
          <a:extLst>
            <a:ext uri="{FF2B5EF4-FFF2-40B4-BE49-F238E27FC236}">
              <a16:creationId xmlns:a16="http://schemas.microsoft.com/office/drawing/2014/main" id="{00000000-0008-0000-0800-000065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02" name="Text Box 45">
          <a:extLst>
            <a:ext uri="{FF2B5EF4-FFF2-40B4-BE49-F238E27FC236}">
              <a16:creationId xmlns:a16="http://schemas.microsoft.com/office/drawing/2014/main" id="{00000000-0008-0000-0800-000066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03" name="Text Box 46">
          <a:extLst>
            <a:ext uri="{FF2B5EF4-FFF2-40B4-BE49-F238E27FC236}">
              <a16:creationId xmlns:a16="http://schemas.microsoft.com/office/drawing/2014/main" id="{00000000-0008-0000-0800-000067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04" name="Text Box 47">
          <a:extLst>
            <a:ext uri="{FF2B5EF4-FFF2-40B4-BE49-F238E27FC236}">
              <a16:creationId xmlns:a16="http://schemas.microsoft.com/office/drawing/2014/main" id="{00000000-0008-0000-0800-000068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16</xdr:col>
      <xdr:colOff>0</xdr:colOff>
      <xdr:row>20</xdr:row>
      <xdr:rowOff>38100</xdr:rowOff>
    </xdr:from>
    <xdr:to>
      <xdr:col>16</xdr:col>
      <xdr:colOff>114300</xdr:colOff>
      <xdr:row>21</xdr:row>
      <xdr:rowOff>66675</xdr:rowOff>
    </xdr:to>
    <xdr:sp macro="" textlink="">
      <xdr:nvSpPr>
        <xdr:cNvPr id="105" name="Text Box 48">
          <a:extLst>
            <a:ext uri="{FF2B5EF4-FFF2-40B4-BE49-F238E27FC236}">
              <a16:creationId xmlns:a16="http://schemas.microsoft.com/office/drawing/2014/main" id="{00000000-0008-0000-0800-000069000000}"/>
            </a:ext>
          </a:extLst>
        </xdr:cNvPr>
        <xdr:cNvSpPr txBox="1">
          <a:spLocks noChangeArrowheads="1"/>
        </xdr:cNvSpPr>
      </xdr:nvSpPr>
      <xdr:spPr bwMode="auto">
        <a:xfrm>
          <a:off x="9048750" y="5076825"/>
          <a:ext cx="114300" cy="276225"/>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06" name="Text Box 50">
          <a:extLst>
            <a:ext uri="{FF2B5EF4-FFF2-40B4-BE49-F238E27FC236}">
              <a16:creationId xmlns:a16="http://schemas.microsoft.com/office/drawing/2014/main" id="{00000000-0008-0000-0800-00006A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15</xdr:col>
      <xdr:colOff>0</xdr:colOff>
      <xdr:row>21</xdr:row>
      <xdr:rowOff>0</xdr:rowOff>
    </xdr:from>
    <xdr:to>
      <xdr:col>15</xdr:col>
      <xdr:colOff>114300</xdr:colOff>
      <xdr:row>22</xdr:row>
      <xdr:rowOff>93151</xdr:rowOff>
    </xdr:to>
    <xdr:sp macro="" textlink="">
      <xdr:nvSpPr>
        <xdr:cNvPr id="107" name="Text Box 52">
          <a:extLst>
            <a:ext uri="{FF2B5EF4-FFF2-40B4-BE49-F238E27FC236}">
              <a16:creationId xmlns:a16="http://schemas.microsoft.com/office/drawing/2014/main" id="{00000000-0008-0000-0800-00006B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08" name="Text Box 53">
          <a:extLst>
            <a:ext uri="{FF2B5EF4-FFF2-40B4-BE49-F238E27FC236}">
              <a16:creationId xmlns:a16="http://schemas.microsoft.com/office/drawing/2014/main" id="{00000000-0008-0000-0800-00006C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09" name="Text Box 54">
          <a:extLst>
            <a:ext uri="{FF2B5EF4-FFF2-40B4-BE49-F238E27FC236}">
              <a16:creationId xmlns:a16="http://schemas.microsoft.com/office/drawing/2014/main" id="{00000000-0008-0000-0800-00006D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0" name="Text Box 55">
          <a:extLst>
            <a:ext uri="{FF2B5EF4-FFF2-40B4-BE49-F238E27FC236}">
              <a16:creationId xmlns:a16="http://schemas.microsoft.com/office/drawing/2014/main" id="{00000000-0008-0000-0800-00006E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1" name="Text Box 56">
          <a:extLst>
            <a:ext uri="{FF2B5EF4-FFF2-40B4-BE49-F238E27FC236}">
              <a16:creationId xmlns:a16="http://schemas.microsoft.com/office/drawing/2014/main" id="{00000000-0008-0000-0800-00006F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2" name="Text Box 57">
          <a:extLst>
            <a:ext uri="{FF2B5EF4-FFF2-40B4-BE49-F238E27FC236}">
              <a16:creationId xmlns:a16="http://schemas.microsoft.com/office/drawing/2014/main" id="{00000000-0008-0000-0800-000070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3" name="Text Box 58">
          <a:extLst>
            <a:ext uri="{FF2B5EF4-FFF2-40B4-BE49-F238E27FC236}">
              <a16:creationId xmlns:a16="http://schemas.microsoft.com/office/drawing/2014/main" id="{00000000-0008-0000-0800-000071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14" name="Text Box 59">
          <a:extLst>
            <a:ext uri="{FF2B5EF4-FFF2-40B4-BE49-F238E27FC236}">
              <a16:creationId xmlns:a16="http://schemas.microsoft.com/office/drawing/2014/main" id="{00000000-0008-0000-0800-000072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5" name="Text Box 62">
          <a:extLst>
            <a:ext uri="{FF2B5EF4-FFF2-40B4-BE49-F238E27FC236}">
              <a16:creationId xmlns:a16="http://schemas.microsoft.com/office/drawing/2014/main" id="{00000000-0008-0000-0800-000073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6" name="Text Box 63">
          <a:extLst>
            <a:ext uri="{FF2B5EF4-FFF2-40B4-BE49-F238E27FC236}">
              <a16:creationId xmlns:a16="http://schemas.microsoft.com/office/drawing/2014/main" id="{00000000-0008-0000-0800-000074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7" name="Text Box 64">
          <a:extLst>
            <a:ext uri="{FF2B5EF4-FFF2-40B4-BE49-F238E27FC236}">
              <a16:creationId xmlns:a16="http://schemas.microsoft.com/office/drawing/2014/main" id="{00000000-0008-0000-0800-000075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16</xdr:col>
      <xdr:colOff>0</xdr:colOff>
      <xdr:row>21</xdr:row>
      <xdr:rowOff>0</xdr:rowOff>
    </xdr:from>
    <xdr:to>
      <xdr:col>16</xdr:col>
      <xdr:colOff>114300</xdr:colOff>
      <xdr:row>22</xdr:row>
      <xdr:rowOff>93151</xdr:rowOff>
    </xdr:to>
    <xdr:sp macro="" textlink="">
      <xdr:nvSpPr>
        <xdr:cNvPr id="118" name="Text Box 65">
          <a:extLst>
            <a:ext uri="{FF2B5EF4-FFF2-40B4-BE49-F238E27FC236}">
              <a16:creationId xmlns:a16="http://schemas.microsoft.com/office/drawing/2014/main" id="{00000000-0008-0000-0800-000076000000}"/>
            </a:ext>
          </a:extLst>
        </xdr:cNvPr>
        <xdr:cNvSpPr txBox="1">
          <a:spLocks noChangeArrowheads="1"/>
        </xdr:cNvSpPr>
      </xdr:nvSpPr>
      <xdr:spPr bwMode="auto">
        <a:xfrm>
          <a:off x="9048750"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23</xdr:row>
      <xdr:rowOff>10817</xdr:rowOff>
    </xdr:to>
    <xdr:sp macro="" textlink="">
      <xdr:nvSpPr>
        <xdr:cNvPr id="119" name="Text Box 26">
          <a:extLst>
            <a:ext uri="{FF2B5EF4-FFF2-40B4-BE49-F238E27FC236}">
              <a16:creationId xmlns:a16="http://schemas.microsoft.com/office/drawing/2014/main" id="{00000000-0008-0000-0800-000077000000}"/>
            </a:ext>
          </a:extLst>
        </xdr:cNvPr>
        <xdr:cNvSpPr txBox="1">
          <a:spLocks noChangeArrowheads="1"/>
        </xdr:cNvSpPr>
      </xdr:nvSpPr>
      <xdr:spPr bwMode="auto">
        <a:xfrm>
          <a:off x="30575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20" name="Text Box 27">
          <a:extLst>
            <a:ext uri="{FF2B5EF4-FFF2-40B4-BE49-F238E27FC236}">
              <a16:creationId xmlns:a16="http://schemas.microsoft.com/office/drawing/2014/main" id="{00000000-0008-0000-0800-000078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23</xdr:row>
      <xdr:rowOff>10817</xdr:rowOff>
    </xdr:to>
    <xdr:sp macro="" textlink="">
      <xdr:nvSpPr>
        <xdr:cNvPr id="121" name="Text Box 67">
          <a:extLst>
            <a:ext uri="{FF2B5EF4-FFF2-40B4-BE49-F238E27FC236}">
              <a16:creationId xmlns:a16="http://schemas.microsoft.com/office/drawing/2014/main" id="{00000000-0008-0000-0800-000079000000}"/>
            </a:ext>
          </a:extLst>
        </xdr:cNvPr>
        <xdr:cNvSpPr txBox="1">
          <a:spLocks noChangeArrowheads="1"/>
        </xdr:cNvSpPr>
      </xdr:nvSpPr>
      <xdr:spPr bwMode="auto">
        <a:xfrm>
          <a:off x="30575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22" name="Text Box 68">
          <a:extLst>
            <a:ext uri="{FF2B5EF4-FFF2-40B4-BE49-F238E27FC236}">
              <a16:creationId xmlns:a16="http://schemas.microsoft.com/office/drawing/2014/main" id="{00000000-0008-0000-0800-00007A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23" name="Text Box 77">
          <a:extLst>
            <a:ext uri="{FF2B5EF4-FFF2-40B4-BE49-F238E27FC236}">
              <a16:creationId xmlns:a16="http://schemas.microsoft.com/office/drawing/2014/main" id="{00000000-0008-0000-0800-00007B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24" name="Text Box 78">
          <a:extLst>
            <a:ext uri="{FF2B5EF4-FFF2-40B4-BE49-F238E27FC236}">
              <a16:creationId xmlns:a16="http://schemas.microsoft.com/office/drawing/2014/main" id="{00000000-0008-0000-0800-00007C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25" name="Text Box 79">
          <a:extLst>
            <a:ext uri="{FF2B5EF4-FFF2-40B4-BE49-F238E27FC236}">
              <a16:creationId xmlns:a16="http://schemas.microsoft.com/office/drawing/2014/main" id="{00000000-0008-0000-0800-00007D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26" name="Text Box 9">
          <a:extLst>
            <a:ext uri="{FF2B5EF4-FFF2-40B4-BE49-F238E27FC236}">
              <a16:creationId xmlns:a16="http://schemas.microsoft.com/office/drawing/2014/main" id="{00000000-0008-0000-0800-00007E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127" name="Text Box 10">
          <a:extLst>
            <a:ext uri="{FF2B5EF4-FFF2-40B4-BE49-F238E27FC236}">
              <a16:creationId xmlns:a16="http://schemas.microsoft.com/office/drawing/2014/main" id="{00000000-0008-0000-0800-00007F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28" name="Text Box 18">
          <a:extLst>
            <a:ext uri="{FF2B5EF4-FFF2-40B4-BE49-F238E27FC236}">
              <a16:creationId xmlns:a16="http://schemas.microsoft.com/office/drawing/2014/main" id="{00000000-0008-0000-0800-000080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29" name="Text Box 50">
          <a:extLst>
            <a:ext uri="{FF2B5EF4-FFF2-40B4-BE49-F238E27FC236}">
              <a16:creationId xmlns:a16="http://schemas.microsoft.com/office/drawing/2014/main" id="{00000000-0008-0000-0800-000081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3</xdr:col>
      <xdr:colOff>361950</xdr:colOff>
      <xdr:row>21</xdr:row>
      <xdr:rowOff>0</xdr:rowOff>
    </xdr:from>
    <xdr:to>
      <xdr:col>3</xdr:col>
      <xdr:colOff>476250</xdr:colOff>
      <xdr:row>22</xdr:row>
      <xdr:rowOff>93151</xdr:rowOff>
    </xdr:to>
    <xdr:sp macro="" textlink="">
      <xdr:nvSpPr>
        <xdr:cNvPr id="130" name="Text Box 59">
          <a:extLst>
            <a:ext uri="{FF2B5EF4-FFF2-40B4-BE49-F238E27FC236}">
              <a16:creationId xmlns:a16="http://schemas.microsoft.com/office/drawing/2014/main" id="{00000000-0008-0000-0800-000082000000}"/>
            </a:ext>
          </a:extLst>
        </xdr:cNvPr>
        <xdr:cNvSpPr txBox="1">
          <a:spLocks noChangeArrowheads="1"/>
        </xdr:cNvSpPr>
      </xdr:nvSpPr>
      <xdr:spPr bwMode="auto">
        <a:xfrm>
          <a:off x="30575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31" name="Text Box 26">
          <a:extLst>
            <a:ext uri="{FF2B5EF4-FFF2-40B4-BE49-F238E27FC236}">
              <a16:creationId xmlns:a16="http://schemas.microsoft.com/office/drawing/2014/main" id="{00000000-0008-0000-0800-000083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23</xdr:row>
      <xdr:rowOff>10817</xdr:rowOff>
    </xdr:to>
    <xdr:sp macro="" textlink="">
      <xdr:nvSpPr>
        <xdr:cNvPr id="132" name="Text Box 67">
          <a:extLst>
            <a:ext uri="{FF2B5EF4-FFF2-40B4-BE49-F238E27FC236}">
              <a16:creationId xmlns:a16="http://schemas.microsoft.com/office/drawing/2014/main" id="{00000000-0008-0000-0800-000084000000}"/>
            </a:ext>
          </a:extLst>
        </xdr:cNvPr>
        <xdr:cNvSpPr txBox="1">
          <a:spLocks noChangeArrowheads="1"/>
        </xdr:cNvSpPr>
      </xdr:nvSpPr>
      <xdr:spPr bwMode="auto">
        <a:xfrm>
          <a:off x="4695825" y="5286375"/>
          <a:ext cx="114300" cy="353717"/>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133" name="Text Box 9">
          <a:extLst>
            <a:ext uri="{FF2B5EF4-FFF2-40B4-BE49-F238E27FC236}">
              <a16:creationId xmlns:a16="http://schemas.microsoft.com/office/drawing/2014/main" id="{00000000-0008-0000-0800-000085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134" name="Text Box 18">
          <a:extLst>
            <a:ext uri="{FF2B5EF4-FFF2-40B4-BE49-F238E27FC236}">
              <a16:creationId xmlns:a16="http://schemas.microsoft.com/office/drawing/2014/main" id="{00000000-0008-0000-0800-000086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135" name="Text Box 50">
          <a:extLst>
            <a:ext uri="{FF2B5EF4-FFF2-40B4-BE49-F238E27FC236}">
              <a16:creationId xmlns:a16="http://schemas.microsoft.com/office/drawing/2014/main" id="{00000000-0008-0000-0800-000087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6</xdr:col>
      <xdr:colOff>361950</xdr:colOff>
      <xdr:row>21</xdr:row>
      <xdr:rowOff>0</xdr:rowOff>
    </xdr:from>
    <xdr:to>
      <xdr:col>6</xdr:col>
      <xdr:colOff>476250</xdr:colOff>
      <xdr:row>22</xdr:row>
      <xdr:rowOff>93151</xdr:rowOff>
    </xdr:to>
    <xdr:sp macro="" textlink="">
      <xdr:nvSpPr>
        <xdr:cNvPr id="136" name="Text Box 59">
          <a:extLst>
            <a:ext uri="{FF2B5EF4-FFF2-40B4-BE49-F238E27FC236}">
              <a16:creationId xmlns:a16="http://schemas.microsoft.com/office/drawing/2014/main" id="{00000000-0008-0000-0800-000088000000}"/>
            </a:ext>
          </a:extLst>
        </xdr:cNvPr>
        <xdr:cNvSpPr txBox="1">
          <a:spLocks noChangeArrowheads="1"/>
        </xdr:cNvSpPr>
      </xdr:nvSpPr>
      <xdr:spPr bwMode="auto">
        <a:xfrm>
          <a:off x="4695825" y="5286375"/>
          <a:ext cx="114300" cy="264601"/>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23</xdr:row>
      <xdr:rowOff>10817</xdr:rowOff>
    </xdr:to>
    <xdr:sp macro="" textlink="">
      <xdr:nvSpPr>
        <xdr:cNvPr id="137" name="Text Box 26">
          <a:extLst>
            <a:ext uri="{FF2B5EF4-FFF2-40B4-BE49-F238E27FC236}">
              <a16:creationId xmlns:a16="http://schemas.microsoft.com/office/drawing/2014/main" id="{00000000-0008-0000-0800-000089000000}"/>
            </a:ext>
          </a:extLst>
        </xdr:cNvPr>
        <xdr:cNvSpPr txBox="1">
          <a:spLocks noChangeArrowheads="1"/>
        </xdr:cNvSpPr>
      </xdr:nvSpPr>
      <xdr:spPr bwMode="auto">
        <a:xfrm>
          <a:off x="6334125" y="5286375"/>
          <a:ext cx="114300" cy="353717"/>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23</xdr:row>
      <xdr:rowOff>10817</xdr:rowOff>
    </xdr:to>
    <xdr:sp macro="" textlink="">
      <xdr:nvSpPr>
        <xdr:cNvPr id="138" name="Text Box 67">
          <a:extLst>
            <a:ext uri="{FF2B5EF4-FFF2-40B4-BE49-F238E27FC236}">
              <a16:creationId xmlns:a16="http://schemas.microsoft.com/office/drawing/2014/main" id="{00000000-0008-0000-0800-00008A000000}"/>
            </a:ext>
          </a:extLst>
        </xdr:cNvPr>
        <xdr:cNvSpPr txBox="1">
          <a:spLocks noChangeArrowheads="1"/>
        </xdr:cNvSpPr>
      </xdr:nvSpPr>
      <xdr:spPr bwMode="auto">
        <a:xfrm>
          <a:off x="6334125" y="5286375"/>
          <a:ext cx="114300" cy="353717"/>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22</xdr:row>
      <xdr:rowOff>93151</xdr:rowOff>
    </xdr:to>
    <xdr:sp macro="" textlink="">
      <xdr:nvSpPr>
        <xdr:cNvPr id="139" name="Text Box 9">
          <a:extLst>
            <a:ext uri="{FF2B5EF4-FFF2-40B4-BE49-F238E27FC236}">
              <a16:creationId xmlns:a16="http://schemas.microsoft.com/office/drawing/2014/main" id="{00000000-0008-0000-0800-00008B000000}"/>
            </a:ext>
          </a:extLst>
        </xdr:cNvPr>
        <xdr:cNvSpPr txBox="1">
          <a:spLocks noChangeArrowheads="1"/>
        </xdr:cNvSpPr>
      </xdr:nvSpPr>
      <xdr:spPr bwMode="auto">
        <a:xfrm>
          <a:off x="6334125" y="5286375"/>
          <a:ext cx="114300" cy="264601"/>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22</xdr:row>
      <xdr:rowOff>93151</xdr:rowOff>
    </xdr:to>
    <xdr:sp macro="" textlink="">
      <xdr:nvSpPr>
        <xdr:cNvPr id="140" name="Text Box 18">
          <a:extLst>
            <a:ext uri="{FF2B5EF4-FFF2-40B4-BE49-F238E27FC236}">
              <a16:creationId xmlns:a16="http://schemas.microsoft.com/office/drawing/2014/main" id="{00000000-0008-0000-0800-00008C000000}"/>
            </a:ext>
          </a:extLst>
        </xdr:cNvPr>
        <xdr:cNvSpPr txBox="1">
          <a:spLocks noChangeArrowheads="1"/>
        </xdr:cNvSpPr>
      </xdr:nvSpPr>
      <xdr:spPr bwMode="auto">
        <a:xfrm>
          <a:off x="6334125" y="5286375"/>
          <a:ext cx="114300" cy="264601"/>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22</xdr:row>
      <xdr:rowOff>93151</xdr:rowOff>
    </xdr:to>
    <xdr:sp macro="" textlink="">
      <xdr:nvSpPr>
        <xdr:cNvPr id="141" name="Text Box 50">
          <a:extLst>
            <a:ext uri="{FF2B5EF4-FFF2-40B4-BE49-F238E27FC236}">
              <a16:creationId xmlns:a16="http://schemas.microsoft.com/office/drawing/2014/main" id="{00000000-0008-0000-0800-00008D000000}"/>
            </a:ext>
          </a:extLst>
        </xdr:cNvPr>
        <xdr:cNvSpPr txBox="1">
          <a:spLocks noChangeArrowheads="1"/>
        </xdr:cNvSpPr>
      </xdr:nvSpPr>
      <xdr:spPr bwMode="auto">
        <a:xfrm>
          <a:off x="6334125" y="5286375"/>
          <a:ext cx="114300" cy="264601"/>
        </a:xfrm>
        <a:prstGeom prst="rect">
          <a:avLst/>
        </a:prstGeom>
        <a:noFill/>
        <a:ln w="9525">
          <a:noFill/>
          <a:miter lim="800000"/>
          <a:headEnd/>
          <a:tailEnd/>
        </a:ln>
      </xdr:spPr>
    </xdr:sp>
    <xdr:clientData/>
  </xdr:twoCellAnchor>
  <xdr:twoCellAnchor editAs="oneCell">
    <xdr:from>
      <xdr:col>9</xdr:col>
      <xdr:colOff>361950</xdr:colOff>
      <xdr:row>21</xdr:row>
      <xdr:rowOff>0</xdr:rowOff>
    </xdr:from>
    <xdr:to>
      <xdr:col>9</xdr:col>
      <xdr:colOff>476250</xdr:colOff>
      <xdr:row>22</xdr:row>
      <xdr:rowOff>93151</xdr:rowOff>
    </xdr:to>
    <xdr:sp macro="" textlink="">
      <xdr:nvSpPr>
        <xdr:cNvPr id="142" name="Text Box 59">
          <a:extLst>
            <a:ext uri="{FF2B5EF4-FFF2-40B4-BE49-F238E27FC236}">
              <a16:creationId xmlns:a16="http://schemas.microsoft.com/office/drawing/2014/main" id="{00000000-0008-0000-0800-00008E000000}"/>
            </a:ext>
          </a:extLst>
        </xdr:cNvPr>
        <xdr:cNvSpPr txBox="1">
          <a:spLocks noChangeArrowheads="1"/>
        </xdr:cNvSpPr>
      </xdr:nvSpPr>
      <xdr:spPr bwMode="auto">
        <a:xfrm>
          <a:off x="6334125" y="5286375"/>
          <a:ext cx="114300" cy="264601"/>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23</xdr:row>
      <xdr:rowOff>10817</xdr:rowOff>
    </xdr:to>
    <xdr:sp macro="" textlink="">
      <xdr:nvSpPr>
        <xdr:cNvPr id="143" name="Text Box 26">
          <a:extLst>
            <a:ext uri="{FF2B5EF4-FFF2-40B4-BE49-F238E27FC236}">
              <a16:creationId xmlns:a16="http://schemas.microsoft.com/office/drawing/2014/main" id="{00000000-0008-0000-0800-00008F000000}"/>
            </a:ext>
          </a:extLst>
        </xdr:cNvPr>
        <xdr:cNvSpPr txBox="1">
          <a:spLocks noChangeArrowheads="1"/>
        </xdr:cNvSpPr>
      </xdr:nvSpPr>
      <xdr:spPr bwMode="auto">
        <a:xfrm>
          <a:off x="7972425" y="5286375"/>
          <a:ext cx="114300" cy="353717"/>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23</xdr:row>
      <xdr:rowOff>10817</xdr:rowOff>
    </xdr:to>
    <xdr:sp macro="" textlink="">
      <xdr:nvSpPr>
        <xdr:cNvPr id="144" name="Text Box 67">
          <a:extLst>
            <a:ext uri="{FF2B5EF4-FFF2-40B4-BE49-F238E27FC236}">
              <a16:creationId xmlns:a16="http://schemas.microsoft.com/office/drawing/2014/main" id="{00000000-0008-0000-0800-000090000000}"/>
            </a:ext>
          </a:extLst>
        </xdr:cNvPr>
        <xdr:cNvSpPr txBox="1">
          <a:spLocks noChangeArrowheads="1"/>
        </xdr:cNvSpPr>
      </xdr:nvSpPr>
      <xdr:spPr bwMode="auto">
        <a:xfrm>
          <a:off x="7972425" y="5286375"/>
          <a:ext cx="114300" cy="353717"/>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22</xdr:row>
      <xdr:rowOff>93151</xdr:rowOff>
    </xdr:to>
    <xdr:sp macro="" textlink="">
      <xdr:nvSpPr>
        <xdr:cNvPr id="145" name="Text Box 9">
          <a:extLst>
            <a:ext uri="{FF2B5EF4-FFF2-40B4-BE49-F238E27FC236}">
              <a16:creationId xmlns:a16="http://schemas.microsoft.com/office/drawing/2014/main" id="{00000000-0008-0000-0800-000091000000}"/>
            </a:ext>
          </a:extLst>
        </xdr:cNvPr>
        <xdr:cNvSpPr txBox="1">
          <a:spLocks noChangeArrowheads="1"/>
        </xdr:cNvSpPr>
      </xdr:nvSpPr>
      <xdr:spPr bwMode="auto">
        <a:xfrm>
          <a:off x="7972425" y="5286375"/>
          <a:ext cx="114300" cy="264601"/>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22</xdr:row>
      <xdr:rowOff>93151</xdr:rowOff>
    </xdr:to>
    <xdr:sp macro="" textlink="">
      <xdr:nvSpPr>
        <xdr:cNvPr id="146" name="Text Box 18">
          <a:extLst>
            <a:ext uri="{FF2B5EF4-FFF2-40B4-BE49-F238E27FC236}">
              <a16:creationId xmlns:a16="http://schemas.microsoft.com/office/drawing/2014/main" id="{00000000-0008-0000-0800-000092000000}"/>
            </a:ext>
          </a:extLst>
        </xdr:cNvPr>
        <xdr:cNvSpPr txBox="1">
          <a:spLocks noChangeArrowheads="1"/>
        </xdr:cNvSpPr>
      </xdr:nvSpPr>
      <xdr:spPr bwMode="auto">
        <a:xfrm>
          <a:off x="7972425" y="5286375"/>
          <a:ext cx="114300" cy="264601"/>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22</xdr:row>
      <xdr:rowOff>93151</xdr:rowOff>
    </xdr:to>
    <xdr:sp macro="" textlink="">
      <xdr:nvSpPr>
        <xdr:cNvPr id="147" name="Text Box 50">
          <a:extLst>
            <a:ext uri="{FF2B5EF4-FFF2-40B4-BE49-F238E27FC236}">
              <a16:creationId xmlns:a16="http://schemas.microsoft.com/office/drawing/2014/main" id="{00000000-0008-0000-0800-000093000000}"/>
            </a:ext>
          </a:extLst>
        </xdr:cNvPr>
        <xdr:cNvSpPr txBox="1">
          <a:spLocks noChangeArrowheads="1"/>
        </xdr:cNvSpPr>
      </xdr:nvSpPr>
      <xdr:spPr bwMode="auto">
        <a:xfrm>
          <a:off x="7972425" y="5286375"/>
          <a:ext cx="114300" cy="264601"/>
        </a:xfrm>
        <a:prstGeom prst="rect">
          <a:avLst/>
        </a:prstGeom>
        <a:noFill/>
        <a:ln w="9525">
          <a:noFill/>
          <a:miter lim="800000"/>
          <a:headEnd/>
          <a:tailEnd/>
        </a:ln>
      </xdr:spPr>
    </xdr:sp>
    <xdr:clientData/>
  </xdr:twoCellAnchor>
  <xdr:twoCellAnchor editAs="oneCell">
    <xdr:from>
      <xdr:col>12</xdr:col>
      <xdr:colOff>361950</xdr:colOff>
      <xdr:row>21</xdr:row>
      <xdr:rowOff>0</xdr:rowOff>
    </xdr:from>
    <xdr:to>
      <xdr:col>12</xdr:col>
      <xdr:colOff>476250</xdr:colOff>
      <xdr:row>22</xdr:row>
      <xdr:rowOff>93151</xdr:rowOff>
    </xdr:to>
    <xdr:sp macro="" textlink="">
      <xdr:nvSpPr>
        <xdr:cNvPr id="148" name="Text Box 59">
          <a:extLst>
            <a:ext uri="{FF2B5EF4-FFF2-40B4-BE49-F238E27FC236}">
              <a16:creationId xmlns:a16="http://schemas.microsoft.com/office/drawing/2014/main" id="{00000000-0008-0000-0800-000094000000}"/>
            </a:ext>
          </a:extLst>
        </xdr:cNvPr>
        <xdr:cNvSpPr txBox="1">
          <a:spLocks noChangeArrowheads="1"/>
        </xdr:cNvSpPr>
      </xdr:nvSpPr>
      <xdr:spPr bwMode="auto">
        <a:xfrm>
          <a:off x="7972425" y="5286375"/>
          <a:ext cx="114300" cy="264601"/>
        </a:xfrm>
        <a:prstGeom prst="rect">
          <a:avLst/>
        </a:prstGeom>
        <a:noFill/>
        <a:ln w="9525">
          <a:noFill/>
          <a:miter lim="800000"/>
          <a:headEnd/>
          <a:tailEnd/>
        </a:ln>
      </xdr:spPr>
    </xdr:sp>
    <xdr:clientData/>
  </xdr:twoCellAnchor>
  <xdr:oneCellAnchor>
    <xdr:from>
      <xdr:col>6</xdr:col>
      <xdr:colOff>361950</xdr:colOff>
      <xdr:row>19</xdr:row>
      <xdr:rowOff>38100</xdr:rowOff>
    </xdr:from>
    <xdr:ext cx="114300" cy="282575"/>
    <xdr:sp macro="" textlink="">
      <xdr:nvSpPr>
        <xdr:cNvPr id="149" name="Text Box 1">
          <a:extLst>
            <a:ext uri="{FF2B5EF4-FFF2-40B4-BE49-F238E27FC236}">
              <a16:creationId xmlns:a16="http://schemas.microsoft.com/office/drawing/2014/main" id="{00000000-0008-0000-0800-000095000000}"/>
            </a:ext>
          </a:extLst>
        </xdr:cNvPr>
        <xdr:cNvSpPr txBox="1">
          <a:spLocks noChangeArrowheads="1"/>
        </xdr:cNvSpPr>
      </xdr:nvSpPr>
      <xdr:spPr bwMode="auto">
        <a:xfrm>
          <a:off x="3167495" y="4944918"/>
          <a:ext cx="114300" cy="282575"/>
        </a:xfrm>
        <a:prstGeom prst="rect">
          <a:avLst/>
        </a:prstGeom>
        <a:noFill/>
        <a:ln w="9525">
          <a:noFill/>
          <a:miter lim="800000"/>
          <a:headEnd/>
          <a:tailEnd/>
        </a:ln>
      </xdr:spPr>
    </xdr:sp>
    <xdr:clientData/>
  </xdr:oneCellAnchor>
  <xdr:oneCellAnchor>
    <xdr:from>
      <xdr:col>6</xdr:col>
      <xdr:colOff>361950</xdr:colOff>
      <xdr:row>19</xdr:row>
      <xdr:rowOff>38100</xdr:rowOff>
    </xdr:from>
    <xdr:ext cx="114300" cy="282575"/>
    <xdr:sp macro="" textlink="">
      <xdr:nvSpPr>
        <xdr:cNvPr id="150" name="Text Box 41">
          <a:extLst>
            <a:ext uri="{FF2B5EF4-FFF2-40B4-BE49-F238E27FC236}">
              <a16:creationId xmlns:a16="http://schemas.microsoft.com/office/drawing/2014/main" id="{00000000-0008-0000-0800-000096000000}"/>
            </a:ext>
          </a:extLst>
        </xdr:cNvPr>
        <xdr:cNvSpPr txBox="1">
          <a:spLocks noChangeArrowheads="1"/>
        </xdr:cNvSpPr>
      </xdr:nvSpPr>
      <xdr:spPr bwMode="auto">
        <a:xfrm>
          <a:off x="3167495" y="4944918"/>
          <a:ext cx="114300" cy="282575"/>
        </a:xfrm>
        <a:prstGeom prst="rect">
          <a:avLst/>
        </a:prstGeom>
        <a:noFill/>
        <a:ln w="9525">
          <a:noFill/>
          <a:miter lim="800000"/>
          <a:headEnd/>
          <a:tailEnd/>
        </a:ln>
      </xdr:spPr>
    </xdr:sp>
    <xdr:clientData/>
  </xdr:oneCellAnchor>
</xdr:wsDr>
</file>

<file path=xl/drawings/drawing4.xml><?xml version="1.0" encoding="utf-8"?>
<c:userShapes xmlns:c="http://schemas.openxmlformats.org/drawingml/2006/chart">
  <cdr:relSizeAnchor xmlns:cdr="http://schemas.openxmlformats.org/drawingml/2006/chartDrawing">
    <cdr:from>
      <cdr:x>0</cdr:x>
      <cdr:y>0.69925</cdr:y>
    </cdr:from>
    <cdr:to>
      <cdr:x>0</cdr:x>
      <cdr:y>0.69925</cdr:y>
    </cdr:to>
    <cdr:sp macro="" textlink="">
      <cdr:nvSpPr>
        <cdr:cNvPr id="194573" name="Text Box 13"/>
        <cdr:cNvSpPr txBox="1">
          <a:spLocks xmlns:a="http://schemas.openxmlformats.org/drawingml/2006/main" noChangeArrowheads="1"/>
        </cdr:cNvSpPr>
      </cdr:nvSpPr>
      <cdr:spPr bwMode="auto">
        <a:xfrm xmlns:a="http://schemas.openxmlformats.org/drawingml/2006/main">
          <a:off x="0" y="3158902"/>
          <a:ext cx="654822" cy="3353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\40</a:t>
          </a:r>
        </a:p>
      </cdr:txBody>
    </cdr:sp>
  </cdr:relSizeAnchor>
  <cdr:relSizeAnchor xmlns:cdr="http://schemas.openxmlformats.org/drawingml/2006/chartDrawing">
    <cdr:from>
      <cdr:x>0</cdr:x>
      <cdr:y>0.62325</cdr:y>
    </cdr:from>
    <cdr:to>
      <cdr:x>0</cdr:x>
      <cdr:y>0.62325</cdr:y>
    </cdr:to>
    <cdr:sp macro="" textlink="">
      <cdr:nvSpPr>
        <cdr:cNvPr id="17" name="Text Box 13"/>
        <cdr:cNvSpPr txBox="1">
          <a:spLocks xmlns:a="http://schemas.openxmlformats.org/drawingml/2006/main" noChangeArrowheads="1"/>
        </cdr:cNvSpPr>
      </cdr:nvSpPr>
      <cdr:spPr bwMode="auto">
        <a:xfrm xmlns:a="http://schemas.openxmlformats.org/drawingml/2006/main">
          <a:off x="0" y="2823821"/>
          <a:ext cx="654822" cy="3353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\60</a:t>
          </a:r>
        </a:p>
      </cdr:txBody>
    </cdr:sp>
  </cdr:relSizeAnchor>
  <cdr:relSizeAnchor xmlns:cdr="http://schemas.openxmlformats.org/drawingml/2006/chartDrawing">
    <cdr:from>
      <cdr:x>0</cdr:x>
      <cdr:y>0.54775</cdr:y>
    </cdr:from>
    <cdr:to>
      <cdr:x>0</cdr:x>
      <cdr:y>0.54775</cdr:y>
    </cdr:to>
    <cdr:sp macro="" textlink="">
      <cdr:nvSpPr>
        <cdr:cNvPr id="18" name="Text Box 13"/>
        <cdr:cNvSpPr txBox="1">
          <a:spLocks xmlns:a="http://schemas.openxmlformats.org/drawingml/2006/main" noChangeArrowheads="1"/>
        </cdr:cNvSpPr>
      </cdr:nvSpPr>
      <cdr:spPr bwMode="auto">
        <a:xfrm xmlns:a="http://schemas.openxmlformats.org/drawingml/2006/main">
          <a:off x="0" y="2489927"/>
          <a:ext cx="654822" cy="3341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\80</a:t>
          </a:r>
        </a:p>
      </cdr:txBody>
    </cdr:sp>
  </cdr:relSizeAnchor>
  <cdr:relSizeAnchor xmlns:cdr="http://schemas.openxmlformats.org/drawingml/2006/chartDrawing">
    <cdr:from>
      <cdr:x>0</cdr:x>
      <cdr:y>0.47225</cdr:y>
    </cdr:from>
    <cdr:to>
      <cdr:x>0</cdr:x>
      <cdr:y>0.47225</cdr:y>
    </cdr:to>
    <cdr:sp macro="" textlink="">
      <cdr:nvSpPr>
        <cdr:cNvPr id="19" name="Text Box 13"/>
        <cdr:cNvSpPr txBox="1">
          <a:spLocks xmlns:a="http://schemas.openxmlformats.org/drawingml/2006/main" noChangeArrowheads="1"/>
        </cdr:cNvSpPr>
      </cdr:nvSpPr>
      <cdr:spPr bwMode="auto">
        <a:xfrm xmlns:a="http://schemas.openxmlformats.org/drawingml/2006/main">
          <a:off x="0" y="2154846"/>
          <a:ext cx="654822" cy="3353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\120</a:t>
          </a:r>
        </a:p>
      </cdr:txBody>
    </cdr:sp>
  </cdr:relSizeAnchor>
  <cdr:relSizeAnchor xmlns:cdr="http://schemas.openxmlformats.org/drawingml/2006/chartDrawing">
    <cdr:from>
      <cdr:x>0</cdr:x>
      <cdr:y>0.397</cdr:y>
    </cdr:from>
    <cdr:to>
      <cdr:x>0</cdr:x>
      <cdr:y>0.397</cdr:y>
    </cdr:to>
    <cdr:sp macro="" textlink="">
      <cdr:nvSpPr>
        <cdr:cNvPr id="20" name="Text Box 13"/>
        <cdr:cNvSpPr txBox="1">
          <a:spLocks xmlns:a="http://schemas.openxmlformats.org/drawingml/2006/main" noChangeArrowheads="1"/>
        </cdr:cNvSpPr>
      </cdr:nvSpPr>
      <cdr:spPr bwMode="auto">
        <a:xfrm xmlns:a="http://schemas.openxmlformats.org/drawingml/2006/main">
          <a:off x="0" y="1819764"/>
          <a:ext cx="654822" cy="3353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\180</a:t>
          </a:r>
        </a:p>
      </cdr:txBody>
    </cdr:sp>
  </cdr:relSizeAnchor>
  <cdr:relSizeAnchor xmlns:cdr="http://schemas.openxmlformats.org/drawingml/2006/chartDrawing">
    <cdr:from>
      <cdr:x>0</cdr:x>
      <cdr:y>0.3215</cdr:y>
    </cdr:from>
    <cdr:to>
      <cdr:x>0</cdr:x>
      <cdr:y>0.3215</cdr:y>
    </cdr:to>
    <cdr:sp macro="" textlink="">
      <cdr:nvSpPr>
        <cdr:cNvPr id="21" name="Text Box 13"/>
        <cdr:cNvSpPr txBox="1">
          <a:spLocks xmlns:a="http://schemas.openxmlformats.org/drawingml/2006/main" noChangeArrowheads="1"/>
        </cdr:cNvSpPr>
      </cdr:nvSpPr>
      <cdr:spPr bwMode="auto">
        <a:xfrm xmlns:a="http://schemas.openxmlformats.org/drawingml/2006/main">
          <a:off x="0" y="1485823"/>
          <a:ext cx="654822" cy="3342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\270</a:t>
          </a:r>
        </a:p>
      </cdr:txBody>
    </cdr:sp>
  </cdr:relSizeAnchor>
  <cdr:relSizeAnchor xmlns:cdr="http://schemas.openxmlformats.org/drawingml/2006/chartDrawing">
    <cdr:from>
      <cdr:x>0</cdr:x>
      <cdr:y>0.2455</cdr:y>
    </cdr:from>
    <cdr:to>
      <cdr:x>0</cdr:x>
      <cdr:y>0.2455</cdr:y>
    </cdr:to>
    <cdr:sp macro="" textlink="">
      <cdr:nvSpPr>
        <cdr:cNvPr id="22" name="Text Box 13"/>
        <cdr:cNvSpPr txBox="1">
          <a:spLocks xmlns:a="http://schemas.openxmlformats.org/drawingml/2006/main" noChangeArrowheads="1"/>
        </cdr:cNvSpPr>
      </cdr:nvSpPr>
      <cdr:spPr bwMode="auto">
        <a:xfrm xmlns:a="http://schemas.openxmlformats.org/drawingml/2006/main">
          <a:off x="0" y="1149602"/>
          <a:ext cx="654822" cy="3365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\400</a:t>
          </a:r>
        </a:p>
      </cdr:txBody>
    </cdr:sp>
  </cdr:relSizeAnchor>
  <cdr:relSizeAnchor xmlns:cdr="http://schemas.openxmlformats.org/drawingml/2006/chartDrawing">
    <cdr:from>
      <cdr:x>0</cdr:x>
      <cdr:y>0.17</cdr:y>
    </cdr:from>
    <cdr:to>
      <cdr:x>0</cdr:x>
      <cdr:y>0.17</cdr:y>
    </cdr:to>
    <cdr:sp macro="" textlink="">
      <cdr:nvSpPr>
        <cdr:cNvPr id="23" name="Text Box 13"/>
        <cdr:cNvSpPr txBox="1">
          <a:spLocks xmlns:a="http://schemas.openxmlformats.org/drawingml/2006/main" noChangeArrowheads="1"/>
        </cdr:cNvSpPr>
      </cdr:nvSpPr>
      <cdr:spPr bwMode="auto">
        <a:xfrm xmlns:a="http://schemas.openxmlformats.org/drawingml/2006/main">
          <a:off x="0" y="815660"/>
          <a:ext cx="654822" cy="3342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\600</a:t>
          </a:r>
        </a:p>
      </cdr:txBody>
    </cdr:sp>
  </cdr:relSizeAnchor>
  <cdr:relSizeAnchor xmlns:cdr="http://schemas.openxmlformats.org/drawingml/2006/chartDrawing">
    <cdr:from>
      <cdr:x>0</cdr:x>
      <cdr:y>0.094</cdr:y>
    </cdr:from>
    <cdr:to>
      <cdr:x>0</cdr:x>
      <cdr:y>0.094</cdr:y>
    </cdr:to>
    <cdr:sp macro="" textlink="">
      <cdr:nvSpPr>
        <cdr:cNvPr id="24" name="Text Box 13"/>
        <cdr:cNvSpPr txBox="1">
          <a:spLocks xmlns:a="http://schemas.openxmlformats.org/drawingml/2006/main" noChangeArrowheads="1"/>
        </cdr:cNvSpPr>
      </cdr:nvSpPr>
      <cdr:spPr bwMode="auto">
        <a:xfrm xmlns:a="http://schemas.openxmlformats.org/drawingml/2006/main">
          <a:off x="0" y="479439"/>
          <a:ext cx="654822" cy="336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\800</a:t>
          </a:r>
        </a:p>
      </cdr:txBody>
    </cdr:sp>
  </cdr:relSizeAnchor>
  <cdr:relSizeAnchor xmlns:cdr="http://schemas.openxmlformats.org/drawingml/2006/chartDrawing">
    <cdr:from>
      <cdr:x>0</cdr:x>
      <cdr:y>0.0185</cdr:y>
    </cdr:from>
    <cdr:to>
      <cdr:x>0</cdr:x>
      <cdr:y>0.0185</cdr:y>
    </cdr:to>
    <cdr:sp macro="" textlink="">
      <cdr:nvSpPr>
        <cdr:cNvPr id="25" name="Text Box 13"/>
        <cdr:cNvSpPr txBox="1">
          <a:spLocks xmlns:a="http://schemas.openxmlformats.org/drawingml/2006/main" noChangeArrowheads="1"/>
        </cdr:cNvSpPr>
      </cdr:nvSpPr>
      <cdr:spPr bwMode="auto">
        <a:xfrm xmlns:a="http://schemas.openxmlformats.org/drawingml/2006/main">
          <a:off x="0" y="145497"/>
          <a:ext cx="654822" cy="3342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en-US" altLang="ja-JP" sz="900" b="0" i="0" strike="noStrike">
              <a:solidFill>
                <a:srgbClr val="000000"/>
              </a:solidFill>
              <a:latin typeface="HGS創英角ｺﾞｼｯｸUB"/>
              <a:ea typeface="HGS創英角ｺﾞｼｯｸUB"/>
            </a:rPr>
            <a:t>\1200</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enshuu.net/prefecture/shotoku/in_shotoku_city.ph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BJ283"/>
  <sheetViews>
    <sheetView view="pageBreakPreview" topLeftCell="AJ1" zoomScale="75" zoomScaleNormal="75" zoomScaleSheetLayoutView="75" workbookViewId="0">
      <selection activeCell="AP16" sqref="AP16:AP22"/>
    </sheetView>
  </sheetViews>
  <sheetFormatPr baseColWidth="10" defaultColWidth="8.83203125" defaultRowHeight="14"/>
  <cols>
    <col min="1" max="3" width="8.83203125" style="36"/>
    <col min="4" max="4" width="13.1640625" style="36" customWidth="1"/>
    <col min="5" max="6" width="12" style="55" customWidth="1"/>
    <col min="7" max="25" width="10.33203125" style="55" customWidth="1"/>
    <col min="26" max="35" width="10.33203125" style="63" customWidth="1"/>
    <col min="36" max="36" width="22.6640625" style="63" bestFit="1" customWidth="1"/>
    <col min="37" max="37" width="18.83203125" style="36" customWidth="1"/>
    <col min="38" max="39" width="18.6640625" style="36" customWidth="1"/>
    <col min="40" max="41" width="16.33203125" style="36" customWidth="1"/>
    <col min="42" max="42" width="10.33203125" style="55" customWidth="1"/>
    <col min="43" max="47" width="16.33203125" style="36" customWidth="1"/>
    <col min="48" max="48" width="10.6640625" style="36" customWidth="1"/>
    <col min="49" max="49" width="12.33203125" style="36" customWidth="1"/>
    <col min="50" max="51" width="15" style="36" customWidth="1"/>
    <col min="52" max="52" width="30.6640625" style="36" bestFit="1" customWidth="1"/>
    <col min="53" max="53" width="8.83203125" style="36" customWidth="1"/>
    <col min="54" max="54" width="20.1640625" style="36" customWidth="1"/>
    <col min="55" max="55" width="8.83203125" style="36" customWidth="1"/>
    <col min="56" max="56" width="23.6640625" style="36" customWidth="1"/>
    <col min="57" max="299" width="8.83203125" style="36"/>
    <col min="300" max="300" width="18.6640625" style="36" customWidth="1"/>
    <col min="301" max="301" width="18.33203125" style="36" customWidth="1"/>
    <col min="302" max="302" width="21.6640625" style="36" customWidth="1"/>
    <col min="303" max="303" width="10.33203125" style="36" customWidth="1"/>
    <col min="304" max="304" width="10.6640625" style="36" customWidth="1"/>
    <col min="305" max="305" width="12.33203125" style="36" customWidth="1"/>
    <col min="306" max="307" width="15" style="36" customWidth="1"/>
    <col min="308" max="309" width="8.83203125" style="36"/>
    <col min="310" max="310" width="20.1640625" style="36" customWidth="1"/>
    <col min="311" max="311" width="8.83203125" style="36"/>
    <col min="312" max="312" width="23.6640625" style="36" customWidth="1"/>
    <col min="313" max="555" width="8.83203125" style="36"/>
    <col min="556" max="556" width="18.6640625" style="36" customWidth="1"/>
    <col min="557" max="557" width="18.33203125" style="36" customWidth="1"/>
    <col min="558" max="558" width="21.6640625" style="36" customWidth="1"/>
    <col min="559" max="559" width="10.33203125" style="36" customWidth="1"/>
    <col min="560" max="560" width="10.6640625" style="36" customWidth="1"/>
    <col min="561" max="561" width="12.33203125" style="36" customWidth="1"/>
    <col min="562" max="563" width="15" style="36" customWidth="1"/>
    <col min="564" max="565" width="8.83203125" style="36"/>
    <col min="566" max="566" width="20.1640625" style="36" customWidth="1"/>
    <col min="567" max="567" width="8.83203125" style="36"/>
    <col min="568" max="568" width="23.6640625" style="36" customWidth="1"/>
    <col min="569" max="811" width="8.83203125" style="36"/>
    <col min="812" max="812" width="18.6640625" style="36" customWidth="1"/>
    <col min="813" max="813" width="18.33203125" style="36" customWidth="1"/>
    <col min="814" max="814" width="21.6640625" style="36" customWidth="1"/>
    <col min="815" max="815" width="10.33203125" style="36" customWidth="1"/>
    <col min="816" max="816" width="10.6640625" style="36" customWidth="1"/>
    <col min="817" max="817" width="12.33203125" style="36" customWidth="1"/>
    <col min="818" max="819" width="15" style="36" customWidth="1"/>
    <col min="820" max="821" width="8.83203125" style="36"/>
    <col min="822" max="822" width="20.1640625" style="36" customWidth="1"/>
    <col min="823" max="823" width="8.83203125" style="36"/>
    <col min="824" max="824" width="23.6640625" style="36" customWidth="1"/>
    <col min="825" max="1067" width="8.83203125" style="36"/>
    <col min="1068" max="1068" width="18.6640625" style="36" customWidth="1"/>
    <col min="1069" max="1069" width="18.33203125" style="36" customWidth="1"/>
    <col min="1070" max="1070" width="21.6640625" style="36" customWidth="1"/>
    <col min="1071" max="1071" width="10.33203125" style="36" customWidth="1"/>
    <col min="1072" max="1072" width="10.6640625" style="36" customWidth="1"/>
    <col min="1073" max="1073" width="12.33203125" style="36" customWidth="1"/>
    <col min="1074" max="1075" width="15" style="36" customWidth="1"/>
    <col min="1076" max="1077" width="8.83203125" style="36"/>
    <col min="1078" max="1078" width="20.1640625" style="36" customWidth="1"/>
    <col min="1079" max="1079" width="8.83203125" style="36"/>
    <col min="1080" max="1080" width="23.6640625" style="36" customWidth="1"/>
    <col min="1081" max="1323" width="8.83203125" style="36"/>
    <col min="1324" max="1324" width="18.6640625" style="36" customWidth="1"/>
    <col min="1325" max="1325" width="18.33203125" style="36" customWidth="1"/>
    <col min="1326" max="1326" width="21.6640625" style="36" customWidth="1"/>
    <col min="1327" max="1327" width="10.33203125" style="36" customWidth="1"/>
    <col min="1328" max="1328" width="10.6640625" style="36" customWidth="1"/>
    <col min="1329" max="1329" width="12.33203125" style="36" customWidth="1"/>
    <col min="1330" max="1331" width="15" style="36" customWidth="1"/>
    <col min="1332" max="1333" width="8.83203125" style="36"/>
    <col min="1334" max="1334" width="20.1640625" style="36" customWidth="1"/>
    <col min="1335" max="1335" width="8.83203125" style="36"/>
    <col min="1336" max="1336" width="23.6640625" style="36" customWidth="1"/>
    <col min="1337" max="1579" width="8.83203125" style="36"/>
    <col min="1580" max="1580" width="18.6640625" style="36" customWidth="1"/>
    <col min="1581" max="1581" width="18.33203125" style="36" customWidth="1"/>
    <col min="1582" max="1582" width="21.6640625" style="36" customWidth="1"/>
    <col min="1583" max="1583" width="10.33203125" style="36" customWidth="1"/>
    <col min="1584" max="1584" width="10.6640625" style="36" customWidth="1"/>
    <col min="1585" max="1585" width="12.33203125" style="36" customWidth="1"/>
    <col min="1586" max="1587" width="15" style="36" customWidth="1"/>
    <col min="1588" max="1589" width="8.83203125" style="36"/>
    <col min="1590" max="1590" width="20.1640625" style="36" customWidth="1"/>
    <col min="1591" max="1591" width="8.83203125" style="36"/>
    <col min="1592" max="1592" width="23.6640625" style="36" customWidth="1"/>
    <col min="1593" max="1835" width="8.83203125" style="36"/>
    <col min="1836" max="1836" width="18.6640625" style="36" customWidth="1"/>
    <col min="1837" max="1837" width="18.33203125" style="36" customWidth="1"/>
    <col min="1838" max="1838" width="21.6640625" style="36" customWidth="1"/>
    <col min="1839" max="1839" width="10.33203125" style="36" customWidth="1"/>
    <col min="1840" max="1840" width="10.6640625" style="36" customWidth="1"/>
    <col min="1841" max="1841" width="12.33203125" style="36" customWidth="1"/>
    <col min="1842" max="1843" width="15" style="36" customWidth="1"/>
    <col min="1844" max="1845" width="8.83203125" style="36"/>
    <col min="1846" max="1846" width="20.1640625" style="36" customWidth="1"/>
    <col min="1847" max="1847" width="8.83203125" style="36"/>
    <col min="1848" max="1848" width="23.6640625" style="36" customWidth="1"/>
    <col min="1849" max="2091" width="8.83203125" style="36"/>
    <col min="2092" max="2092" width="18.6640625" style="36" customWidth="1"/>
    <col min="2093" max="2093" width="18.33203125" style="36" customWidth="1"/>
    <col min="2094" max="2094" width="21.6640625" style="36" customWidth="1"/>
    <col min="2095" max="2095" width="10.33203125" style="36" customWidth="1"/>
    <col min="2096" max="2096" width="10.6640625" style="36" customWidth="1"/>
    <col min="2097" max="2097" width="12.33203125" style="36" customWidth="1"/>
    <col min="2098" max="2099" width="15" style="36" customWidth="1"/>
    <col min="2100" max="2101" width="8.83203125" style="36"/>
    <col min="2102" max="2102" width="20.1640625" style="36" customWidth="1"/>
    <col min="2103" max="2103" width="8.83203125" style="36"/>
    <col min="2104" max="2104" width="23.6640625" style="36" customWidth="1"/>
    <col min="2105" max="2347" width="8.83203125" style="36"/>
    <col min="2348" max="2348" width="18.6640625" style="36" customWidth="1"/>
    <col min="2349" max="2349" width="18.33203125" style="36" customWidth="1"/>
    <col min="2350" max="2350" width="21.6640625" style="36" customWidth="1"/>
    <col min="2351" max="2351" width="10.33203125" style="36" customWidth="1"/>
    <col min="2352" max="2352" width="10.6640625" style="36" customWidth="1"/>
    <col min="2353" max="2353" width="12.33203125" style="36" customWidth="1"/>
    <col min="2354" max="2355" width="15" style="36" customWidth="1"/>
    <col min="2356" max="2357" width="8.83203125" style="36"/>
    <col min="2358" max="2358" width="20.1640625" style="36" customWidth="1"/>
    <col min="2359" max="2359" width="8.83203125" style="36"/>
    <col min="2360" max="2360" width="23.6640625" style="36" customWidth="1"/>
    <col min="2361" max="2603" width="8.83203125" style="36"/>
    <col min="2604" max="2604" width="18.6640625" style="36" customWidth="1"/>
    <col min="2605" max="2605" width="18.33203125" style="36" customWidth="1"/>
    <col min="2606" max="2606" width="21.6640625" style="36" customWidth="1"/>
    <col min="2607" max="2607" width="10.33203125" style="36" customWidth="1"/>
    <col min="2608" max="2608" width="10.6640625" style="36" customWidth="1"/>
    <col min="2609" max="2609" width="12.33203125" style="36" customWidth="1"/>
    <col min="2610" max="2611" width="15" style="36" customWidth="1"/>
    <col min="2612" max="2613" width="8.83203125" style="36"/>
    <col min="2614" max="2614" width="20.1640625" style="36" customWidth="1"/>
    <col min="2615" max="2615" width="8.83203125" style="36"/>
    <col min="2616" max="2616" width="23.6640625" style="36" customWidth="1"/>
    <col min="2617" max="2859" width="8.83203125" style="36"/>
    <col min="2860" max="2860" width="18.6640625" style="36" customWidth="1"/>
    <col min="2861" max="2861" width="18.33203125" style="36" customWidth="1"/>
    <col min="2862" max="2862" width="21.6640625" style="36" customWidth="1"/>
    <col min="2863" max="2863" width="10.33203125" style="36" customWidth="1"/>
    <col min="2864" max="2864" width="10.6640625" style="36" customWidth="1"/>
    <col min="2865" max="2865" width="12.33203125" style="36" customWidth="1"/>
    <col min="2866" max="2867" width="15" style="36" customWidth="1"/>
    <col min="2868" max="2869" width="8.83203125" style="36"/>
    <col min="2870" max="2870" width="20.1640625" style="36" customWidth="1"/>
    <col min="2871" max="2871" width="8.83203125" style="36"/>
    <col min="2872" max="2872" width="23.6640625" style="36" customWidth="1"/>
    <col min="2873" max="3115" width="8.83203125" style="36"/>
    <col min="3116" max="3116" width="18.6640625" style="36" customWidth="1"/>
    <col min="3117" max="3117" width="18.33203125" style="36" customWidth="1"/>
    <col min="3118" max="3118" width="21.6640625" style="36" customWidth="1"/>
    <col min="3119" max="3119" width="10.33203125" style="36" customWidth="1"/>
    <col min="3120" max="3120" width="10.6640625" style="36" customWidth="1"/>
    <col min="3121" max="3121" width="12.33203125" style="36" customWidth="1"/>
    <col min="3122" max="3123" width="15" style="36" customWidth="1"/>
    <col min="3124" max="3125" width="8.83203125" style="36"/>
    <col min="3126" max="3126" width="20.1640625" style="36" customWidth="1"/>
    <col min="3127" max="3127" width="8.83203125" style="36"/>
    <col min="3128" max="3128" width="23.6640625" style="36" customWidth="1"/>
    <col min="3129" max="3371" width="8.83203125" style="36"/>
    <col min="3372" max="3372" width="18.6640625" style="36" customWidth="1"/>
    <col min="3373" max="3373" width="18.33203125" style="36" customWidth="1"/>
    <col min="3374" max="3374" width="21.6640625" style="36" customWidth="1"/>
    <col min="3375" max="3375" width="10.33203125" style="36" customWidth="1"/>
    <col min="3376" max="3376" width="10.6640625" style="36" customWidth="1"/>
    <col min="3377" max="3377" width="12.33203125" style="36" customWidth="1"/>
    <col min="3378" max="3379" width="15" style="36" customWidth="1"/>
    <col min="3380" max="3381" width="8.83203125" style="36"/>
    <col min="3382" max="3382" width="20.1640625" style="36" customWidth="1"/>
    <col min="3383" max="3383" width="8.83203125" style="36"/>
    <col min="3384" max="3384" width="23.6640625" style="36" customWidth="1"/>
    <col min="3385" max="3627" width="8.83203125" style="36"/>
    <col min="3628" max="3628" width="18.6640625" style="36" customWidth="1"/>
    <col min="3629" max="3629" width="18.33203125" style="36" customWidth="1"/>
    <col min="3630" max="3630" width="21.6640625" style="36" customWidth="1"/>
    <col min="3631" max="3631" width="10.33203125" style="36" customWidth="1"/>
    <col min="3632" max="3632" width="10.6640625" style="36" customWidth="1"/>
    <col min="3633" max="3633" width="12.33203125" style="36" customWidth="1"/>
    <col min="3634" max="3635" width="15" style="36" customWidth="1"/>
    <col min="3636" max="3637" width="8.83203125" style="36"/>
    <col min="3638" max="3638" width="20.1640625" style="36" customWidth="1"/>
    <col min="3639" max="3639" width="8.83203125" style="36"/>
    <col min="3640" max="3640" width="23.6640625" style="36" customWidth="1"/>
    <col min="3641" max="3883" width="8.83203125" style="36"/>
    <col min="3884" max="3884" width="18.6640625" style="36" customWidth="1"/>
    <col min="3885" max="3885" width="18.33203125" style="36" customWidth="1"/>
    <col min="3886" max="3886" width="21.6640625" style="36" customWidth="1"/>
    <col min="3887" max="3887" width="10.33203125" style="36" customWidth="1"/>
    <col min="3888" max="3888" width="10.6640625" style="36" customWidth="1"/>
    <col min="3889" max="3889" width="12.33203125" style="36" customWidth="1"/>
    <col min="3890" max="3891" width="15" style="36" customWidth="1"/>
    <col min="3892" max="3893" width="8.83203125" style="36"/>
    <col min="3894" max="3894" width="20.1640625" style="36" customWidth="1"/>
    <col min="3895" max="3895" width="8.83203125" style="36"/>
    <col min="3896" max="3896" width="23.6640625" style="36" customWidth="1"/>
    <col min="3897" max="4139" width="8.83203125" style="36"/>
    <col min="4140" max="4140" width="18.6640625" style="36" customWidth="1"/>
    <col min="4141" max="4141" width="18.33203125" style="36" customWidth="1"/>
    <col min="4142" max="4142" width="21.6640625" style="36" customWidth="1"/>
    <col min="4143" max="4143" width="10.33203125" style="36" customWidth="1"/>
    <col min="4144" max="4144" width="10.6640625" style="36" customWidth="1"/>
    <col min="4145" max="4145" width="12.33203125" style="36" customWidth="1"/>
    <col min="4146" max="4147" width="15" style="36" customWidth="1"/>
    <col min="4148" max="4149" width="8.83203125" style="36"/>
    <col min="4150" max="4150" width="20.1640625" style="36" customWidth="1"/>
    <col min="4151" max="4151" width="8.83203125" style="36"/>
    <col min="4152" max="4152" width="23.6640625" style="36" customWidth="1"/>
    <col min="4153" max="4395" width="8.83203125" style="36"/>
    <col min="4396" max="4396" width="18.6640625" style="36" customWidth="1"/>
    <col min="4397" max="4397" width="18.33203125" style="36" customWidth="1"/>
    <col min="4398" max="4398" width="21.6640625" style="36" customWidth="1"/>
    <col min="4399" max="4399" width="10.33203125" style="36" customWidth="1"/>
    <col min="4400" max="4400" width="10.6640625" style="36" customWidth="1"/>
    <col min="4401" max="4401" width="12.33203125" style="36" customWidth="1"/>
    <col min="4402" max="4403" width="15" style="36" customWidth="1"/>
    <col min="4404" max="4405" width="8.83203125" style="36"/>
    <col min="4406" max="4406" width="20.1640625" style="36" customWidth="1"/>
    <col min="4407" max="4407" width="8.83203125" style="36"/>
    <col min="4408" max="4408" width="23.6640625" style="36" customWidth="1"/>
    <col min="4409" max="4651" width="8.83203125" style="36"/>
    <col min="4652" max="4652" width="18.6640625" style="36" customWidth="1"/>
    <col min="4653" max="4653" width="18.33203125" style="36" customWidth="1"/>
    <col min="4654" max="4654" width="21.6640625" style="36" customWidth="1"/>
    <col min="4655" max="4655" width="10.33203125" style="36" customWidth="1"/>
    <col min="4656" max="4656" width="10.6640625" style="36" customWidth="1"/>
    <col min="4657" max="4657" width="12.33203125" style="36" customWidth="1"/>
    <col min="4658" max="4659" width="15" style="36" customWidth="1"/>
    <col min="4660" max="4661" width="8.83203125" style="36"/>
    <col min="4662" max="4662" width="20.1640625" style="36" customWidth="1"/>
    <col min="4663" max="4663" width="8.83203125" style="36"/>
    <col min="4664" max="4664" width="23.6640625" style="36" customWidth="1"/>
    <col min="4665" max="4907" width="8.83203125" style="36"/>
    <col min="4908" max="4908" width="18.6640625" style="36" customWidth="1"/>
    <col min="4909" max="4909" width="18.33203125" style="36" customWidth="1"/>
    <col min="4910" max="4910" width="21.6640625" style="36" customWidth="1"/>
    <col min="4911" max="4911" width="10.33203125" style="36" customWidth="1"/>
    <col min="4912" max="4912" width="10.6640625" style="36" customWidth="1"/>
    <col min="4913" max="4913" width="12.33203125" style="36" customWidth="1"/>
    <col min="4914" max="4915" width="15" style="36" customWidth="1"/>
    <col min="4916" max="4917" width="8.83203125" style="36"/>
    <col min="4918" max="4918" width="20.1640625" style="36" customWidth="1"/>
    <col min="4919" max="4919" width="8.83203125" style="36"/>
    <col min="4920" max="4920" width="23.6640625" style="36" customWidth="1"/>
    <col min="4921" max="5163" width="8.83203125" style="36"/>
    <col min="5164" max="5164" width="18.6640625" style="36" customWidth="1"/>
    <col min="5165" max="5165" width="18.33203125" style="36" customWidth="1"/>
    <col min="5166" max="5166" width="21.6640625" style="36" customWidth="1"/>
    <col min="5167" max="5167" width="10.33203125" style="36" customWidth="1"/>
    <col min="5168" max="5168" width="10.6640625" style="36" customWidth="1"/>
    <col min="5169" max="5169" width="12.33203125" style="36" customWidth="1"/>
    <col min="5170" max="5171" width="15" style="36" customWidth="1"/>
    <col min="5172" max="5173" width="8.83203125" style="36"/>
    <col min="5174" max="5174" width="20.1640625" style="36" customWidth="1"/>
    <col min="5175" max="5175" width="8.83203125" style="36"/>
    <col min="5176" max="5176" width="23.6640625" style="36" customWidth="1"/>
    <col min="5177" max="5419" width="8.83203125" style="36"/>
    <col min="5420" max="5420" width="18.6640625" style="36" customWidth="1"/>
    <col min="5421" max="5421" width="18.33203125" style="36" customWidth="1"/>
    <col min="5422" max="5422" width="21.6640625" style="36" customWidth="1"/>
    <col min="5423" max="5423" width="10.33203125" style="36" customWidth="1"/>
    <col min="5424" max="5424" width="10.6640625" style="36" customWidth="1"/>
    <col min="5425" max="5425" width="12.33203125" style="36" customWidth="1"/>
    <col min="5426" max="5427" width="15" style="36" customWidth="1"/>
    <col min="5428" max="5429" width="8.83203125" style="36"/>
    <col min="5430" max="5430" width="20.1640625" style="36" customWidth="1"/>
    <col min="5431" max="5431" width="8.83203125" style="36"/>
    <col min="5432" max="5432" width="23.6640625" style="36" customWidth="1"/>
    <col min="5433" max="5675" width="8.83203125" style="36"/>
    <col min="5676" max="5676" width="18.6640625" style="36" customWidth="1"/>
    <col min="5677" max="5677" width="18.33203125" style="36" customWidth="1"/>
    <col min="5678" max="5678" width="21.6640625" style="36" customWidth="1"/>
    <col min="5679" max="5679" width="10.33203125" style="36" customWidth="1"/>
    <col min="5680" max="5680" width="10.6640625" style="36" customWidth="1"/>
    <col min="5681" max="5681" width="12.33203125" style="36" customWidth="1"/>
    <col min="5682" max="5683" width="15" style="36" customWidth="1"/>
    <col min="5684" max="5685" width="8.83203125" style="36"/>
    <col min="5686" max="5686" width="20.1640625" style="36" customWidth="1"/>
    <col min="5687" max="5687" width="8.83203125" style="36"/>
    <col min="5688" max="5688" width="23.6640625" style="36" customWidth="1"/>
    <col min="5689" max="5931" width="8.83203125" style="36"/>
    <col min="5932" max="5932" width="18.6640625" style="36" customWidth="1"/>
    <col min="5933" max="5933" width="18.33203125" style="36" customWidth="1"/>
    <col min="5934" max="5934" width="21.6640625" style="36" customWidth="1"/>
    <col min="5935" max="5935" width="10.33203125" style="36" customWidth="1"/>
    <col min="5936" max="5936" width="10.6640625" style="36" customWidth="1"/>
    <col min="5937" max="5937" width="12.33203125" style="36" customWidth="1"/>
    <col min="5938" max="5939" width="15" style="36" customWidth="1"/>
    <col min="5940" max="5941" width="8.83203125" style="36"/>
    <col min="5942" max="5942" width="20.1640625" style="36" customWidth="1"/>
    <col min="5943" max="5943" width="8.83203125" style="36"/>
    <col min="5944" max="5944" width="23.6640625" style="36" customWidth="1"/>
    <col min="5945" max="6187" width="8.83203125" style="36"/>
    <col min="6188" max="6188" width="18.6640625" style="36" customWidth="1"/>
    <col min="6189" max="6189" width="18.33203125" style="36" customWidth="1"/>
    <col min="6190" max="6190" width="21.6640625" style="36" customWidth="1"/>
    <col min="6191" max="6191" width="10.33203125" style="36" customWidth="1"/>
    <col min="6192" max="6192" width="10.6640625" style="36" customWidth="1"/>
    <col min="6193" max="6193" width="12.33203125" style="36" customWidth="1"/>
    <col min="6194" max="6195" width="15" style="36" customWidth="1"/>
    <col min="6196" max="6197" width="8.83203125" style="36"/>
    <col min="6198" max="6198" width="20.1640625" style="36" customWidth="1"/>
    <col min="6199" max="6199" width="8.83203125" style="36"/>
    <col min="6200" max="6200" width="23.6640625" style="36" customWidth="1"/>
    <col min="6201" max="6443" width="8.83203125" style="36"/>
    <col min="6444" max="6444" width="18.6640625" style="36" customWidth="1"/>
    <col min="6445" max="6445" width="18.33203125" style="36" customWidth="1"/>
    <col min="6446" max="6446" width="21.6640625" style="36" customWidth="1"/>
    <col min="6447" max="6447" width="10.33203125" style="36" customWidth="1"/>
    <col min="6448" max="6448" width="10.6640625" style="36" customWidth="1"/>
    <col min="6449" max="6449" width="12.33203125" style="36" customWidth="1"/>
    <col min="6450" max="6451" width="15" style="36" customWidth="1"/>
    <col min="6452" max="6453" width="8.83203125" style="36"/>
    <col min="6454" max="6454" width="20.1640625" style="36" customWidth="1"/>
    <col min="6455" max="6455" width="8.83203125" style="36"/>
    <col min="6456" max="6456" width="23.6640625" style="36" customWidth="1"/>
    <col min="6457" max="6699" width="8.83203125" style="36"/>
    <col min="6700" max="6700" width="18.6640625" style="36" customWidth="1"/>
    <col min="6701" max="6701" width="18.33203125" style="36" customWidth="1"/>
    <col min="6702" max="6702" width="21.6640625" style="36" customWidth="1"/>
    <col min="6703" max="6703" width="10.33203125" style="36" customWidth="1"/>
    <col min="6704" max="6704" width="10.6640625" style="36" customWidth="1"/>
    <col min="6705" max="6705" width="12.33203125" style="36" customWidth="1"/>
    <col min="6706" max="6707" width="15" style="36" customWidth="1"/>
    <col min="6708" max="6709" width="8.83203125" style="36"/>
    <col min="6710" max="6710" width="20.1640625" style="36" customWidth="1"/>
    <col min="6711" max="6711" width="8.83203125" style="36"/>
    <col min="6712" max="6712" width="23.6640625" style="36" customWidth="1"/>
    <col min="6713" max="6955" width="8.83203125" style="36"/>
    <col min="6956" max="6956" width="18.6640625" style="36" customWidth="1"/>
    <col min="6957" max="6957" width="18.33203125" style="36" customWidth="1"/>
    <col min="6958" max="6958" width="21.6640625" style="36" customWidth="1"/>
    <col min="6959" max="6959" width="10.33203125" style="36" customWidth="1"/>
    <col min="6960" max="6960" width="10.6640625" style="36" customWidth="1"/>
    <col min="6961" max="6961" width="12.33203125" style="36" customWidth="1"/>
    <col min="6962" max="6963" width="15" style="36" customWidth="1"/>
    <col min="6964" max="6965" width="8.83203125" style="36"/>
    <col min="6966" max="6966" width="20.1640625" style="36" customWidth="1"/>
    <col min="6967" max="6967" width="8.83203125" style="36"/>
    <col min="6968" max="6968" width="23.6640625" style="36" customWidth="1"/>
    <col min="6969" max="7211" width="8.83203125" style="36"/>
    <col min="7212" max="7212" width="18.6640625" style="36" customWidth="1"/>
    <col min="7213" max="7213" width="18.33203125" style="36" customWidth="1"/>
    <col min="7214" max="7214" width="21.6640625" style="36" customWidth="1"/>
    <col min="7215" max="7215" width="10.33203125" style="36" customWidth="1"/>
    <col min="7216" max="7216" width="10.6640625" style="36" customWidth="1"/>
    <col min="7217" max="7217" width="12.33203125" style="36" customWidth="1"/>
    <col min="7218" max="7219" width="15" style="36" customWidth="1"/>
    <col min="7220" max="7221" width="8.83203125" style="36"/>
    <col min="7222" max="7222" width="20.1640625" style="36" customWidth="1"/>
    <col min="7223" max="7223" width="8.83203125" style="36"/>
    <col min="7224" max="7224" width="23.6640625" style="36" customWidth="1"/>
    <col min="7225" max="7467" width="8.83203125" style="36"/>
    <col min="7468" max="7468" width="18.6640625" style="36" customWidth="1"/>
    <col min="7469" max="7469" width="18.33203125" style="36" customWidth="1"/>
    <col min="7470" max="7470" width="21.6640625" style="36" customWidth="1"/>
    <col min="7471" max="7471" width="10.33203125" style="36" customWidth="1"/>
    <col min="7472" max="7472" width="10.6640625" style="36" customWidth="1"/>
    <col min="7473" max="7473" width="12.33203125" style="36" customWidth="1"/>
    <col min="7474" max="7475" width="15" style="36" customWidth="1"/>
    <col min="7476" max="7477" width="8.83203125" style="36"/>
    <col min="7478" max="7478" width="20.1640625" style="36" customWidth="1"/>
    <col min="7479" max="7479" width="8.83203125" style="36"/>
    <col min="7480" max="7480" width="23.6640625" style="36" customWidth="1"/>
    <col min="7481" max="7723" width="8.83203125" style="36"/>
    <col min="7724" max="7724" width="18.6640625" style="36" customWidth="1"/>
    <col min="7725" max="7725" width="18.33203125" style="36" customWidth="1"/>
    <col min="7726" max="7726" width="21.6640625" style="36" customWidth="1"/>
    <col min="7727" max="7727" width="10.33203125" style="36" customWidth="1"/>
    <col min="7728" max="7728" width="10.6640625" style="36" customWidth="1"/>
    <col min="7729" max="7729" width="12.33203125" style="36" customWidth="1"/>
    <col min="7730" max="7731" width="15" style="36" customWidth="1"/>
    <col min="7732" max="7733" width="8.83203125" style="36"/>
    <col min="7734" max="7734" width="20.1640625" style="36" customWidth="1"/>
    <col min="7735" max="7735" width="8.83203125" style="36"/>
    <col min="7736" max="7736" width="23.6640625" style="36" customWidth="1"/>
    <col min="7737" max="7979" width="8.83203125" style="36"/>
    <col min="7980" max="7980" width="18.6640625" style="36" customWidth="1"/>
    <col min="7981" max="7981" width="18.33203125" style="36" customWidth="1"/>
    <col min="7982" max="7982" width="21.6640625" style="36" customWidth="1"/>
    <col min="7983" max="7983" width="10.33203125" style="36" customWidth="1"/>
    <col min="7984" max="7984" width="10.6640625" style="36" customWidth="1"/>
    <col min="7985" max="7985" width="12.33203125" style="36" customWidth="1"/>
    <col min="7986" max="7987" width="15" style="36" customWidth="1"/>
    <col min="7988" max="7989" width="8.83203125" style="36"/>
    <col min="7990" max="7990" width="20.1640625" style="36" customWidth="1"/>
    <col min="7991" max="7991" width="8.83203125" style="36"/>
    <col min="7992" max="7992" width="23.6640625" style="36" customWidth="1"/>
    <col min="7993" max="8235" width="8.83203125" style="36"/>
    <col min="8236" max="8236" width="18.6640625" style="36" customWidth="1"/>
    <col min="8237" max="8237" width="18.33203125" style="36" customWidth="1"/>
    <col min="8238" max="8238" width="21.6640625" style="36" customWidth="1"/>
    <col min="8239" max="8239" width="10.33203125" style="36" customWidth="1"/>
    <col min="8240" max="8240" width="10.6640625" style="36" customWidth="1"/>
    <col min="8241" max="8241" width="12.33203125" style="36" customWidth="1"/>
    <col min="8242" max="8243" width="15" style="36" customWidth="1"/>
    <col min="8244" max="8245" width="8.83203125" style="36"/>
    <col min="8246" max="8246" width="20.1640625" style="36" customWidth="1"/>
    <col min="8247" max="8247" width="8.83203125" style="36"/>
    <col min="8248" max="8248" width="23.6640625" style="36" customWidth="1"/>
    <col min="8249" max="8491" width="8.83203125" style="36"/>
    <col min="8492" max="8492" width="18.6640625" style="36" customWidth="1"/>
    <col min="8493" max="8493" width="18.33203125" style="36" customWidth="1"/>
    <col min="8494" max="8494" width="21.6640625" style="36" customWidth="1"/>
    <col min="8495" max="8495" width="10.33203125" style="36" customWidth="1"/>
    <col min="8496" max="8496" width="10.6640625" style="36" customWidth="1"/>
    <col min="8497" max="8497" width="12.33203125" style="36" customWidth="1"/>
    <col min="8498" max="8499" width="15" style="36" customWidth="1"/>
    <col min="8500" max="8501" width="8.83203125" style="36"/>
    <col min="8502" max="8502" width="20.1640625" style="36" customWidth="1"/>
    <col min="8503" max="8503" width="8.83203125" style="36"/>
    <col min="8504" max="8504" width="23.6640625" style="36" customWidth="1"/>
    <col min="8505" max="8747" width="8.83203125" style="36"/>
    <col min="8748" max="8748" width="18.6640625" style="36" customWidth="1"/>
    <col min="8749" max="8749" width="18.33203125" style="36" customWidth="1"/>
    <col min="8750" max="8750" width="21.6640625" style="36" customWidth="1"/>
    <col min="8751" max="8751" width="10.33203125" style="36" customWidth="1"/>
    <col min="8752" max="8752" width="10.6640625" style="36" customWidth="1"/>
    <col min="8753" max="8753" width="12.33203125" style="36" customWidth="1"/>
    <col min="8754" max="8755" width="15" style="36" customWidth="1"/>
    <col min="8756" max="8757" width="8.83203125" style="36"/>
    <col min="8758" max="8758" width="20.1640625" style="36" customWidth="1"/>
    <col min="8759" max="8759" width="8.83203125" style="36"/>
    <col min="8760" max="8760" width="23.6640625" style="36" customWidth="1"/>
    <col min="8761" max="9003" width="8.83203125" style="36"/>
    <col min="9004" max="9004" width="18.6640625" style="36" customWidth="1"/>
    <col min="9005" max="9005" width="18.33203125" style="36" customWidth="1"/>
    <col min="9006" max="9006" width="21.6640625" style="36" customWidth="1"/>
    <col min="9007" max="9007" width="10.33203125" style="36" customWidth="1"/>
    <col min="9008" max="9008" width="10.6640625" style="36" customWidth="1"/>
    <col min="9009" max="9009" width="12.33203125" style="36" customWidth="1"/>
    <col min="9010" max="9011" width="15" style="36" customWidth="1"/>
    <col min="9012" max="9013" width="8.83203125" style="36"/>
    <col min="9014" max="9014" width="20.1640625" style="36" customWidth="1"/>
    <col min="9015" max="9015" width="8.83203125" style="36"/>
    <col min="9016" max="9016" width="23.6640625" style="36" customWidth="1"/>
    <col min="9017" max="9259" width="8.83203125" style="36"/>
    <col min="9260" max="9260" width="18.6640625" style="36" customWidth="1"/>
    <col min="9261" max="9261" width="18.33203125" style="36" customWidth="1"/>
    <col min="9262" max="9262" width="21.6640625" style="36" customWidth="1"/>
    <col min="9263" max="9263" width="10.33203125" style="36" customWidth="1"/>
    <col min="9264" max="9264" width="10.6640625" style="36" customWidth="1"/>
    <col min="9265" max="9265" width="12.33203125" style="36" customWidth="1"/>
    <col min="9266" max="9267" width="15" style="36" customWidth="1"/>
    <col min="9268" max="9269" width="8.83203125" style="36"/>
    <col min="9270" max="9270" width="20.1640625" style="36" customWidth="1"/>
    <col min="9271" max="9271" width="8.83203125" style="36"/>
    <col min="9272" max="9272" width="23.6640625" style="36" customWidth="1"/>
    <col min="9273" max="9515" width="8.83203125" style="36"/>
    <col min="9516" max="9516" width="18.6640625" style="36" customWidth="1"/>
    <col min="9517" max="9517" width="18.33203125" style="36" customWidth="1"/>
    <col min="9518" max="9518" width="21.6640625" style="36" customWidth="1"/>
    <col min="9519" max="9519" width="10.33203125" style="36" customWidth="1"/>
    <col min="9520" max="9520" width="10.6640625" style="36" customWidth="1"/>
    <col min="9521" max="9521" width="12.33203125" style="36" customWidth="1"/>
    <col min="9522" max="9523" width="15" style="36" customWidth="1"/>
    <col min="9524" max="9525" width="8.83203125" style="36"/>
    <col min="9526" max="9526" width="20.1640625" style="36" customWidth="1"/>
    <col min="9527" max="9527" width="8.83203125" style="36"/>
    <col min="9528" max="9528" width="23.6640625" style="36" customWidth="1"/>
    <col min="9529" max="9771" width="8.83203125" style="36"/>
    <col min="9772" max="9772" width="18.6640625" style="36" customWidth="1"/>
    <col min="9773" max="9773" width="18.33203125" style="36" customWidth="1"/>
    <col min="9774" max="9774" width="21.6640625" style="36" customWidth="1"/>
    <col min="9775" max="9775" width="10.33203125" style="36" customWidth="1"/>
    <col min="9776" max="9776" width="10.6640625" style="36" customWidth="1"/>
    <col min="9777" max="9777" width="12.33203125" style="36" customWidth="1"/>
    <col min="9778" max="9779" width="15" style="36" customWidth="1"/>
    <col min="9780" max="9781" width="8.83203125" style="36"/>
    <col min="9782" max="9782" width="20.1640625" style="36" customWidth="1"/>
    <col min="9783" max="9783" width="8.83203125" style="36"/>
    <col min="9784" max="9784" width="23.6640625" style="36" customWidth="1"/>
    <col min="9785" max="10027" width="8.83203125" style="36"/>
    <col min="10028" max="10028" width="18.6640625" style="36" customWidth="1"/>
    <col min="10029" max="10029" width="18.33203125" style="36" customWidth="1"/>
    <col min="10030" max="10030" width="21.6640625" style="36" customWidth="1"/>
    <col min="10031" max="10031" width="10.33203125" style="36" customWidth="1"/>
    <col min="10032" max="10032" width="10.6640625" style="36" customWidth="1"/>
    <col min="10033" max="10033" width="12.33203125" style="36" customWidth="1"/>
    <col min="10034" max="10035" width="15" style="36" customWidth="1"/>
    <col min="10036" max="10037" width="8.83203125" style="36"/>
    <col min="10038" max="10038" width="20.1640625" style="36" customWidth="1"/>
    <col min="10039" max="10039" width="8.83203125" style="36"/>
    <col min="10040" max="10040" width="23.6640625" style="36" customWidth="1"/>
    <col min="10041" max="10283" width="8.83203125" style="36"/>
    <col min="10284" max="10284" width="18.6640625" style="36" customWidth="1"/>
    <col min="10285" max="10285" width="18.33203125" style="36" customWidth="1"/>
    <col min="10286" max="10286" width="21.6640625" style="36" customWidth="1"/>
    <col min="10287" max="10287" width="10.33203125" style="36" customWidth="1"/>
    <col min="10288" max="10288" width="10.6640625" style="36" customWidth="1"/>
    <col min="10289" max="10289" width="12.33203125" style="36" customWidth="1"/>
    <col min="10290" max="10291" width="15" style="36" customWidth="1"/>
    <col min="10292" max="10293" width="8.83203125" style="36"/>
    <col min="10294" max="10294" width="20.1640625" style="36" customWidth="1"/>
    <col min="10295" max="10295" width="8.83203125" style="36"/>
    <col min="10296" max="10296" width="23.6640625" style="36" customWidth="1"/>
    <col min="10297" max="10539" width="8.83203125" style="36"/>
    <col min="10540" max="10540" width="18.6640625" style="36" customWidth="1"/>
    <col min="10541" max="10541" width="18.33203125" style="36" customWidth="1"/>
    <col min="10542" max="10542" width="21.6640625" style="36" customWidth="1"/>
    <col min="10543" max="10543" width="10.33203125" style="36" customWidth="1"/>
    <col min="10544" max="10544" width="10.6640625" style="36" customWidth="1"/>
    <col min="10545" max="10545" width="12.33203125" style="36" customWidth="1"/>
    <col min="10546" max="10547" width="15" style="36" customWidth="1"/>
    <col min="10548" max="10549" width="8.83203125" style="36"/>
    <col min="10550" max="10550" width="20.1640625" style="36" customWidth="1"/>
    <col min="10551" max="10551" width="8.83203125" style="36"/>
    <col min="10552" max="10552" width="23.6640625" style="36" customWidth="1"/>
    <col min="10553" max="10795" width="8.83203125" style="36"/>
    <col min="10796" max="10796" width="18.6640625" style="36" customWidth="1"/>
    <col min="10797" max="10797" width="18.33203125" style="36" customWidth="1"/>
    <col min="10798" max="10798" width="21.6640625" style="36" customWidth="1"/>
    <col min="10799" max="10799" width="10.33203125" style="36" customWidth="1"/>
    <col min="10800" max="10800" width="10.6640625" style="36" customWidth="1"/>
    <col min="10801" max="10801" width="12.33203125" style="36" customWidth="1"/>
    <col min="10802" max="10803" width="15" style="36" customWidth="1"/>
    <col min="10804" max="10805" width="8.83203125" style="36"/>
    <col min="10806" max="10806" width="20.1640625" style="36" customWidth="1"/>
    <col min="10807" max="10807" width="8.83203125" style="36"/>
    <col min="10808" max="10808" width="23.6640625" style="36" customWidth="1"/>
    <col min="10809" max="11051" width="8.83203125" style="36"/>
    <col min="11052" max="11052" width="18.6640625" style="36" customWidth="1"/>
    <col min="11053" max="11053" width="18.33203125" style="36" customWidth="1"/>
    <col min="11054" max="11054" width="21.6640625" style="36" customWidth="1"/>
    <col min="11055" max="11055" width="10.33203125" style="36" customWidth="1"/>
    <col min="11056" max="11056" width="10.6640625" style="36" customWidth="1"/>
    <col min="11057" max="11057" width="12.33203125" style="36" customWidth="1"/>
    <col min="11058" max="11059" width="15" style="36" customWidth="1"/>
    <col min="11060" max="11061" width="8.83203125" style="36"/>
    <col min="11062" max="11062" width="20.1640625" style="36" customWidth="1"/>
    <col min="11063" max="11063" width="8.83203125" style="36"/>
    <col min="11064" max="11064" width="23.6640625" style="36" customWidth="1"/>
    <col min="11065" max="11307" width="8.83203125" style="36"/>
    <col min="11308" max="11308" width="18.6640625" style="36" customWidth="1"/>
    <col min="11309" max="11309" width="18.33203125" style="36" customWidth="1"/>
    <col min="11310" max="11310" width="21.6640625" style="36" customWidth="1"/>
    <col min="11311" max="11311" width="10.33203125" style="36" customWidth="1"/>
    <col min="11312" max="11312" width="10.6640625" style="36" customWidth="1"/>
    <col min="11313" max="11313" width="12.33203125" style="36" customWidth="1"/>
    <col min="11314" max="11315" width="15" style="36" customWidth="1"/>
    <col min="11316" max="11317" width="8.83203125" style="36"/>
    <col min="11318" max="11318" width="20.1640625" style="36" customWidth="1"/>
    <col min="11319" max="11319" width="8.83203125" style="36"/>
    <col min="11320" max="11320" width="23.6640625" style="36" customWidth="1"/>
    <col min="11321" max="11563" width="8.83203125" style="36"/>
    <col min="11564" max="11564" width="18.6640625" style="36" customWidth="1"/>
    <col min="11565" max="11565" width="18.33203125" style="36" customWidth="1"/>
    <col min="11566" max="11566" width="21.6640625" style="36" customWidth="1"/>
    <col min="11567" max="11567" width="10.33203125" style="36" customWidth="1"/>
    <col min="11568" max="11568" width="10.6640625" style="36" customWidth="1"/>
    <col min="11569" max="11569" width="12.33203125" style="36" customWidth="1"/>
    <col min="11570" max="11571" width="15" style="36" customWidth="1"/>
    <col min="11572" max="11573" width="8.83203125" style="36"/>
    <col min="11574" max="11574" width="20.1640625" style="36" customWidth="1"/>
    <col min="11575" max="11575" width="8.83203125" style="36"/>
    <col min="11576" max="11576" width="23.6640625" style="36" customWidth="1"/>
    <col min="11577" max="11819" width="8.83203125" style="36"/>
    <col min="11820" max="11820" width="18.6640625" style="36" customWidth="1"/>
    <col min="11821" max="11821" width="18.33203125" style="36" customWidth="1"/>
    <col min="11822" max="11822" width="21.6640625" style="36" customWidth="1"/>
    <col min="11823" max="11823" width="10.33203125" style="36" customWidth="1"/>
    <col min="11824" max="11824" width="10.6640625" style="36" customWidth="1"/>
    <col min="11825" max="11825" width="12.33203125" style="36" customWidth="1"/>
    <col min="11826" max="11827" width="15" style="36" customWidth="1"/>
    <col min="11828" max="11829" width="8.83203125" style="36"/>
    <col min="11830" max="11830" width="20.1640625" style="36" customWidth="1"/>
    <col min="11831" max="11831" width="8.83203125" style="36"/>
    <col min="11832" max="11832" width="23.6640625" style="36" customWidth="1"/>
    <col min="11833" max="12075" width="8.83203125" style="36"/>
    <col min="12076" max="12076" width="18.6640625" style="36" customWidth="1"/>
    <col min="12077" max="12077" width="18.33203125" style="36" customWidth="1"/>
    <col min="12078" max="12078" width="21.6640625" style="36" customWidth="1"/>
    <col min="12079" max="12079" width="10.33203125" style="36" customWidth="1"/>
    <col min="12080" max="12080" width="10.6640625" style="36" customWidth="1"/>
    <col min="12081" max="12081" width="12.33203125" style="36" customWidth="1"/>
    <col min="12082" max="12083" width="15" style="36" customWidth="1"/>
    <col min="12084" max="12085" width="8.83203125" style="36"/>
    <col min="12086" max="12086" width="20.1640625" style="36" customWidth="1"/>
    <col min="12087" max="12087" width="8.83203125" style="36"/>
    <col min="12088" max="12088" width="23.6640625" style="36" customWidth="1"/>
    <col min="12089" max="12331" width="8.83203125" style="36"/>
    <col min="12332" max="12332" width="18.6640625" style="36" customWidth="1"/>
    <col min="12333" max="12333" width="18.33203125" style="36" customWidth="1"/>
    <col min="12334" max="12334" width="21.6640625" style="36" customWidth="1"/>
    <col min="12335" max="12335" width="10.33203125" style="36" customWidth="1"/>
    <col min="12336" max="12336" width="10.6640625" style="36" customWidth="1"/>
    <col min="12337" max="12337" width="12.33203125" style="36" customWidth="1"/>
    <col min="12338" max="12339" width="15" style="36" customWidth="1"/>
    <col min="12340" max="12341" width="8.83203125" style="36"/>
    <col min="12342" max="12342" width="20.1640625" style="36" customWidth="1"/>
    <col min="12343" max="12343" width="8.83203125" style="36"/>
    <col min="12344" max="12344" width="23.6640625" style="36" customWidth="1"/>
    <col min="12345" max="12587" width="8.83203125" style="36"/>
    <col min="12588" max="12588" width="18.6640625" style="36" customWidth="1"/>
    <col min="12589" max="12589" width="18.33203125" style="36" customWidth="1"/>
    <col min="12590" max="12590" width="21.6640625" style="36" customWidth="1"/>
    <col min="12591" max="12591" width="10.33203125" style="36" customWidth="1"/>
    <col min="12592" max="12592" width="10.6640625" style="36" customWidth="1"/>
    <col min="12593" max="12593" width="12.33203125" style="36" customWidth="1"/>
    <col min="12594" max="12595" width="15" style="36" customWidth="1"/>
    <col min="12596" max="12597" width="8.83203125" style="36"/>
    <col min="12598" max="12598" width="20.1640625" style="36" customWidth="1"/>
    <col min="12599" max="12599" width="8.83203125" style="36"/>
    <col min="12600" max="12600" width="23.6640625" style="36" customWidth="1"/>
    <col min="12601" max="12843" width="8.83203125" style="36"/>
    <col min="12844" max="12844" width="18.6640625" style="36" customWidth="1"/>
    <col min="12845" max="12845" width="18.33203125" style="36" customWidth="1"/>
    <col min="12846" max="12846" width="21.6640625" style="36" customWidth="1"/>
    <col min="12847" max="12847" width="10.33203125" style="36" customWidth="1"/>
    <col min="12848" max="12848" width="10.6640625" style="36" customWidth="1"/>
    <col min="12849" max="12849" width="12.33203125" style="36" customWidth="1"/>
    <col min="12850" max="12851" width="15" style="36" customWidth="1"/>
    <col min="12852" max="12853" width="8.83203125" style="36"/>
    <col min="12854" max="12854" width="20.1640625" style="36" customWidth="1"/>
    <col min="12855" max="12855" width="8.83203125" style="36"/>
    <col min="12856" max="12856" width="23.6640625" style="36" customWidth="1"/>
    <col min="12857" max="13099" width="8.83203125" style="36"/>
    <col min="13100" max="13100" width="18.6640625" style="36" customWidth="1"/>
    <col min="13101" max="13101" width="18.33203125" style="36" customWidth="1"/>
    <col min="13102" max="13102" width="21.6640625" style="36" customWidth="1"/>
    <col min="13103" max="13103" width="10.33203125" style="36" customWidth="1"/>
    <col min="13104" max="13104" width="10.6640625" style="36" customWidth="1"/>
    <col min="13105" max="13105" width="12.33203125" style="36" customWidth="1"/>
    <col min="13106" max="13107" width="15" style="36" customWidth="1"/>
    <col min="13108" max="13109" width="8.83203125" style="36"/>
    <col min="13110" max="13110" width="20.1640625" style="36" customWidth="1"/>
    <col min="13111" max="13111" width="8.83203125" style="36"/>
    <col min="13112" max="13112" width="23.6640625" style="36" customWidth="1"/>
    <col min="13113" max="13355" width="8.83203125" style="36"/>
    <col min="13356" max="13356" width="18.6640625" style="36" customWidth="1"/>
    <col min="13357" max="13357" width="18.33203125" style="36" customWidth="1"/>
    <col min="13358" max="13358" width="21.6640625" style="36" customWidth="1"/>
    <col min="13359" max="13359" width="10.33203125" style="36" customWidth="1"/>
    <col min="13360" max="13360" width="10.6640625" style="36" customWidth="1"/>
    <col min="13361" max="13361" width="12.33203125" style="36" customWidth="1"/>
    <col min="13362" max="13363" width="15" style="36" customWidth="1"/>
    <col min="13364" max="13365" width="8.83203125" style="36"/>
    <col min="13366" max="13366" width="20.1640625" style="36" customWidth="1"/>
    <col min="13367" max="13367" width="8.83203125" style="36"/>
    <col min="13368" max="13368" width="23.6640625" style="36" customWidth="1"/>
    <col min="13369" max="13611" width="8.83203125" style="36"/>
    <col min="13612" max="13612" width="18.6640625" style="36" customWidth="1"/>
    <col min="13613" max="13613" width="18.33203125" style="36" customWidth="1"/>
    <col min="13614" max="13614" width="21.6640625" style="36" customWidth="1"/>
    <col min="13615" max="13615" width="10.33203125" style="36" customWidth="1"/>
    <col min="13616" max="13616" width="10.6640625" style="36" customWidth="1"/>
    <col min="13617" max="13617" width="12.33203125" style="36" customWidth="1"/>
    <col min="13618" max="13619" width="15" style="36" customWidth="1"/>
    <col min="13620" max="13621" width="8.83203125" style="36"/>
    <col min="13622" max="13622" width="20.1640625" style="36" customWidth="1"/>
    <col min="13623" max="13623" width="8.83203125" style="36"/>
    <col min="13624" max="13624" width="23.6640625" style="36" customWidth="1"/>
    <col min="13625" max="13867" width="8.83203125" style="36"/>
    <col min="13868" max="13868" width="18.6640625" style="36" customWidth="1"/>
    <col min="13869" max="13869" width="18.33203125" style="36" customWidth="1"/>
    <col min="13870" max="13870" width="21.6640625" style="36" customWidth="1"/>
    <col min="13871" max="13871" width="10.33203125" style="36" customWidth="1"/>
    <col min="13872" max="13872" width="10.6640625" style="36" customWidth="1"/>
    <col min="13873" max="13873" width="12.33203125" style="36" customWidth="1"/>
    <col min="13874" max="13875" width="15" style="36" customWidth="1"/>
    <col min="13876" max="13877" width="8.83203125" style="36"/>
    <col min="13878" max="13878" width="20.1640625" style="36" customWidth="1"/>
    <col min="13879" max="13879" width="8.83203125" style="36"/>
    <col min="13880" max="13880" width="23.6640625" style="36" customWidth="1"/>
    <col min="13881" max="14123" width="8.83203125" style="36"/>
    <col min="14124" max="14124" width="18.6640625" style="36" customWidth="1"/>
    <col min="14125" max="14125" width="18.33203125" style="36" customWidth="1"/>
    <col min="14126" max="14126" width="21.6640625" style="36" customWidth="1"/>
    <col min="14127" max="14127" width="10.33203125" style="36" customWidth="1"/>
    <col min="14128" max="14128" width="10.6640625" style="36" customWidth="1"/>
    <col min="14129" max="14129" width="12.33203125" style="36" customWidth="1"/>
    <col min="14130" max="14131" width="15" style="36" customWidth="1"/>
    <col min="14132" max="14133" width="8.83203125" style="36"/>
    <col min="14134" max="14134" width="20.1640625" style="36" customWidth="1"/>
    <col min="14135" max="14135" width="8.83203125" style="36"/>
    <col min="14136" max="14136" width="23.6640625" style="36" customWidth="1"/>
    <col min="14137" max="14379" width="8.83203125" style="36"/>
    <col min="14380" max="14380" width="18.6640625" style="36" customWidth="1"/>
    <col min="14381" max="14381" width="18.33203125" style="36" customWidth="1"/>
    <col min="14382" max="14382" width="21.6640625" style="36" customWidth="1"/>
    <col min="14383" max="14383" width="10.33203125" style="36" customWidth="1"/>
    <col min="14384" max="14384" width="10.6640625" style="36" customWidth="1"/>
    <col min="14385" max="14385" width="12.33203125" style="36" customWidth="1"/>
    <col min="14386" max="14387" width="15" style="36" customWidth="1"/>
    <col min="14388" max="14389" width="8.83203125" style="36"/>
    <col min="14390" max="14390" width="20.1640625" style="36" customWidth="1"/>
    <col min="14391" max="14391" width="8.83203125" style="36"/>
    <col min="14392" max="14392" width="23.6640625" style="36" customWidth="1"/>
    <col min="14393" max="14635" width="8.83203125" style="36"/>
    <col min="14636" max="14636" width="18.6640625" style="36" customWidth="1"/>
    <col min="14637" max="14637" width="18.33203125" style="36" customWidth="1"/>
    <col min="14638" max="14638" width="21.6640625" style="36" customWidth="1"/>
    <col min="14639" max="14639" width="10.33203125" style="36" customWidth="1"/>
    <col min="14640" max="14640" width="10.6640625" style="36" customWidth="1"/>
    <col min="14641" max="14641" width="12.33203125" style="36" customWidth="1"/>
    <col min="14642" max="14643" width="15" style="36" customWidth="1"/>
    <col min="14644" max="14645" width="8.83203125" style="36"/>
    <col min="14646" max="14646" width="20.1640625" style="36" customWidth="1"/>
    <col min="14647" max="14647" width="8.83203125" style="36"/>
    <col min="14648" max="14648" width="23.6640625" style="36" customWidth="1"/>
    <col min="14649" max="14891" width="8.83203125" style="36"/>
    <col min="14892" max="14892" width="18.6640625" style="36" customWidth="1"/>
    <col min="14893" max="14893" width="18.33203125" style="36" customWidth="1"/>
    <col min="14894" max="14894" width="21.6640625" style="36" customWidth="1"/>
    <col min="14895" max="14895" width="10.33203125" style="36" customWidth="1"/>
    <col min="14896" max="14896" width="10.6640625" style="36" customWidth="1"/>
    <col min="14897" max="14897" width="12.33203125" style="36" customWidth="1"/>
    <col min="14898" max="14899" width="15" style="36" customWidth="1"/>
    <col min="14900" max="14901" width="8.83203125" style="36"/>
    <col min="14902" max="14902" width="20.1640625" style="36" customWidth="1"/>
    <col min="14903" max="14903" width="8.83203125" style="36"/>
    <col min="14904" max="14904" width="23.6640625" style="36" customWidth="1"/>
    <col min="14905" max="15147" width="8.83203125" style="36"/>
    <col min="15148" max="15148" width="18.6640625" style="36" customWidth="1"/>
    <col min="15149" max="15149" width="18.33203125" style="36" customWidth="1"/>
    <col min="15150" max="15150" width="21.6640625" style="36" customWidth="1"/>
    <col min="15151" max="15151" width="10.33203125" style="36" customWidth="1"/>
    <col min="15152" max="15152" width="10.6640625" style="36" customWidth="1"/>
    <col min="15153" max="15153" width="12.33203125" style="36" customWidth="1"/>
    <col min="15154" max="15155" width="15" style="36" customWidth="1"/>
    <col min="15156" max="15157" width="8.83203125" style="36"/>
    <col min="15158" max="15158" width="20.1640625" style="36" customWidth="1"/>
    <col min="15159" max="15159" width="8.83203125" style="36"/>
    <col min="15160" max="15160" width="23.6640625" style="36" customWidth="1"/>
    <col min="15161" max="15403" width="8.83203125" style="36"/>
    <col min="15404" max="15404" width="18.6640625" style="36" customWidth="1"/>
    <col min="15405" max="15405" width="18.33203125" style="36" customWidth="1"/>
    <col min="15406" max="15406" width="21.6640625" style="36" customWidth="1"/>
    <col min="15407" max="15407" width="10.33203125" style="36" customWidth="1"/>
    <col min="15408" max="15408" width="10.6640625" style="36" customWidth="1"/>
    <col min="15409" max="15409" width="12.33203125" style="36" customWidth="1"/>
    <col min="15410" max="15411" width="15" style="36" customWidth="1"/>
    <col min="15412" max="15413" width="8.83203125" style="36"/>
    <col min="15414" max="15414" width="20.1640625" style="36" customWidth="1"/>
    <col min="15415" max="15415" width="8.83203125" style="36"/>
    <col min="15416" max="15416" width="23.6640625" style="36" customWidth="1"/>
    <col min="15417" max="15659" width="8.83203125" style="36"/>
    <col min="15660" max="15660" width="18.6640625" style="36" customWidth="1"/>
    <col min="15661" max="15661" width="18.33203125" style="36" customWidth="1"/>
    <col min="15662" max="15662" width="21.6640625" style="36" customWidth="1"/>
    <col min="15663" max="15663" width="10.33203125" style="36" customWidth="1"/>
    <col min="15664" max="15664" width="10.6640625" style="36" customWidth="1"/>
    <col min="15665" max="15665" width="12.33203125" style="36" customWidth="1"/>
    <col min="15666" max="15667" width="15" style="36" customWidth="1"/>
    <col min="15668" max="15669" width="8.83203125" style="36"/>
    <col min="15670" max="15670" width="20.1640625" style="36" customWidth="1"/>
    <col min="15671" max="15671" width="8.83203125" style="36"/>
    <col min="15672" max="15672" width="23.6640625" style="36" customWidth="1"/>
    <col min="15673" max="15915" width="8.83203125" style="36"/>
    <col min="15916" max="15916" width="18.6640625" style="36" customWidth="1"/>
    <col min="15917" max="15917" width="18.33203125" style="36" customWidth="1"/>
    <col min="15918" max="15918" width="21.6640625" style="36" customWidth="1"/>
    <col min="15919" max="15919" width="10.33203125" style="36" customWidth="1"/>
    <col min="15920" max="15920" width="10.6640625" style="36" customWidth="1"/>
    <col min="15921" max="15921" width="12.33203125" style="36" customWidth="1"/>
    <col min="15922" max="15923" width="15" style="36" customWidth="1"/>
    <col min="15924" max="15925" width="8.83203125" style="36"/>
    <col min="15926" max="15926" width="20.1640625" style="36" customWidth="1"/>
    <col min="15927" max="15927" width="8.83203125" style="36"/>
    <col min="15928" max="15928" width="23.6640625" style="36" customWidth="1"/>
    <col min="15929" max="16171" width="8.83203125" style="36"/>
    <col min="16172" max="16172" width="18.6640625" style="36" customWidth="1"/>
    <col min="16173" max="16173" width="18.33203125" style="36" customWidth="1"/>
    <col min="16174" max="16174" width="21.6640625" style="36" customWidth="1"/>
    <col min="16175" max="16175" width="10.33203125" style="36" customWidth="1"/>
    <col min="16176" max="16176" width="10.6640625" style="36" customWidth="1"/>
    <col min="16177" max="16177" width="12.33203125" style="36" customWidth="1"/>
    <col min="16178" max="16179" width="15" style="36" customWidth="1"/>
    <col min="16180" max="16181" width="8.83203125" style="36"/>
    <col min="16182" max="16182" width="20.1640625" style="36" customWidth="1"/>
    <col min="16183" max="16183" width="8.83203125" style="36"/>
    <col min="16184" max="16184" width="23.6640625" style="36" customWidth="1"/>
    <col min="16185" max="16384" width="8.83203125" style="36"/>
  </cols>
  <sheetData>
    <row r="1" spans="1:62">
      <c r="A1" s="103"/>
      <c r="B1" s="103"/>
      <c r="C1" s="103"/>
      <c r="D1" s="107"/>
      <c r="E1" s="79"/>
      <c r="F1" s="79"/>
      <c r="G1" s="79"/>
      <c r="H1" s="79"/>
      <c r="I1" s="79"/>
      <c r="J1" s="79"/>
      <c r="K1" s="79"/>
      <c r="L1" s="79"/>
      <c r="M1" s="79"/>
      <c r="N1" s="79"/>
      <c r="O1" s="79"/>
      <c r="P1" s="79"/>
      <c r="Q1" s="79"/>
      <c r="R1" s="80"/>
      <c r="S1" s="84"/>
      <c r="T1" s="79"/>
      <c r="U1" s="79"/>
      <c r="V1" s="79"/>
      <c r="W1" s="79"/>
      <c r="X1" s="79"/>
      <c r="Y1" s="96"/>
      <c r="Z1" s="89"/>
      <c r="AA1" s="97"/>
      <c r="AB1" s="97"/>
      <c r="AC1" s="97"/>
      <c r="AD1" s="97"/>
      <c r="AE1" s="97"/>
      <c r="AF1" s="97"/>
      <c r="AG1" s="97"/>
      <c r="AH1" s="97"/>
      <c r="AI1" s="97"/>
      <c r="AJ1" s="97"/>
      <c r="AK1" s="103"/>
      <c r="AL1" s="103">
        <f>0.24*0.24</f>
        <v>5.7599999999999998E-2</v>
      </c>
      <c r="AM1" s="103">
        <v>3.3</v>
      </c>
      <c r="AN1" s="103">
        <f>AM1/AL1</f>
        <v>57.291666666666664</v>
      </c>
      <c r="AO1" s="103"/>
      <c r="AP1" s="103"/>
      <c r="AQ1" s="103"/>
      <c r="AR1" s="103"/>
      <c r="AS1" s="103"/>
      <c r="AT1" s="103"/>
      <c r="AU1" s="103"/>
      <c r="AV1" s="103"/>
      <c r="AW1" s="103"/>
      <c r="AX1" s="103"/>
      <c r="AY1" s="103"/>
      <c r="AZ1" s="103"/>
    </row>
    <row r="2" spans="1:62">
      <c r="A2" s="104"/>
      <c r="B2" s="104"/>
      <c r="C2" s="104"/>
      <c r="D2" s="77"/>
      <c r="E2" s="78"/>
      <c r="F2" s="78"/>
      <c r="G2" s="84"/>
      <c r="H2" s="79"/>
      <c r="I2" s="79"/>
      <c r="J2" s="79"/>
      <c r="K2" s="79"/>
      <c r="L2" s="79"/>
      <c r="M2" s="79"/>
      <c r="N2" s="79"/>
      <c r="O2" s="79"/>
      <c r="P2" s="79"/>
      <c r="Q2" s="79"/>
      <c r="R2" s="80"/>
      <c r="S2" s="78"/>
      <c r="T2" s="81"/>
      <c r="U2" s="81"/>
      <c r="V2" s="81"/>
      <c r="W2" s="81"/>
      <c r="X2" s="81"/>
      <c r="Y2" s="108"/>
      <c r="Z2" s="82"/>
      <c r="AA2" s="83"/>
      <c r="AB2" s="83"/>
      <c r="AC2" s="83"/>
      <c r="AD2" s="83"/>
      <c r="AE2" s="83"/>
      <c r="AF2" s="83"/>
      <c r="AG2" s="83"/>
      <c r="AH2" s="83"/>
      <c r="AI2" s="83"/>
      <c r="AJ2" s="83"/>
      <c r="AK2" s="104"/>
      <c r="AL2" s="104">
        <v>923000</v>
      </c>
      <c r="AM2" s="104"/>
      <c r="AN2" s="104"/>
      <c r="AO2" s="196">
        <v>0.8</v>
      </c>
      <c r="AP2" s="104"/>
      <c r="AQ2" s="104"/>
      <c r="AR2" s="104"/>
      <c r="AS2" s="104"/>
      <c r="AT2" s="104"/>
      <c r="AU2" s="104"/>
      <c r="AV2" s="104"/>
      <c r="AW2" s="104"/>
      <c r="AX2" s="104"/>
      <c r="AY2" s="104"/>
      <c r="AZ2" s="104"/>
    </row>
    <row r="3" spans="1:62">
      <c r="A3" s="104"/>
      <c r="B3" s="104"/>
      <c r="C3" s="104"/>
      <c r="D3" s="77"/>
      <c r="E3" s="85"/>
      <c r="F3" s="177"/>
      <c r="G3" s="78"/>
      <c r="H3" s="84"/>
      <c r="I3" s="79"/>
      <c r="J3" s="79"/>
      <c r="K3" s="79"/>
      <c r="L3" s="79"/>
      <c r="M3" s="79"/>
      <c r="N3" s="79"/>
      <c r="O3" s="79"/>
      <c r="P3" s="80"/>
      <c r="Q3" s="80"/>
      <c r="R3" s="81"/>
      <c r="S3" s="95"/>
      <c r="T3" s="109"/>
      <c r="U3" s="109"/>
      <c r="V3" s="109"/>
      <c r="W3" s="109"/>
      <c r="X3" s="109"/>
      <c r="Y3" s="94"/>
      <c r="Z3" s="114"/>
      <c r="AA3" s="110"/>
      <c r="AB3" s="110"/>
      <c r="AC3" s="110"/>
      <c r="AD3" s="110"/>
      <c r="AE3" s="110"/>
      <c r="AF3" s="110"/>
      <c r="AG3" s="110"/>
      <c r="AH3" s="110"/>
      <c r="AI3" s="110"/>
      <c r="AJ3" s="110"/>
      <c r="AK3" s="104"/>
      <c r="AL3" s="104"/>
      <c r="AM3" s="104"/>
      <c r="AN3" s="104"/>
      <c r="AO3" s="104">
        <v>1E-4</v>
      </c>
      <c r="AP3" s="104"/>
      <c r="AQ3" s="104"/>
      <c r="AR3" s="104"/>
      <c r="AS3" s="104"/>
      <c r="AT3" s="104"/>
      <c r="AU3" s="104"/>
      <c r="AV3" s="104"/>
      <c r="AW3" s="104"/>
      <c r="AX3" s="104"/>
      <c r="AY3" s="104"/>
      <c r="AZ3" s="104"/>
    </row>
    <row r="4" spans="1:62">
      <c r="A4" s="104"/>
      <c r="B4" s="104"/>
      <c r="C4" s="104"/>
      <c r="D4" s="77"/>
      <c r="E4" s="85"/>
      <c r="F4" s="178"/>
      <c r="G4" s="81"/>
      <c r="H4" s="86"/>
      <c r="I4" s="84"/>
      <c r="J4" s="79"/>
      <c r="K4" s="79"/>
      <c r="L4" s="79"/>
      <c r="M4" s="79"/>
      <c r="N4" s="79"/>
      <c r="O4" s="79"/>
      <c r="P4" s="79"/>
      <c r="Q4" s="79"/>
      <c r="R4" s="87"/>
      <c r="S4" s="88"/>
      <c r="T4" s="87"/>
      <c r="U4" s="87"/>
      <c r="V4" s="87"/>
      <c r="W4" s="87"/>
      <c r="X4" s="87"/>
      <c r="Y4" s="87"/>
      <c r="Z4" s="82"/>
      <c r="AA4" s="110"/>
      <c r="AB4" s="110"/>
      <c r="AC4" s="111"/>
      <c r="AD4" s="111"/>
      <c r="AE4" s="111"/>
      <c r="AF4" s="112" t="s">
        <v>91</v>
      </c>
      <c r="AG4" s="91"/>
      <c r="AH4" s="91"/>
      <c r="AI4" s="113"/>
      <c r="AJ4" s="88"/>
      <c r="AK4" s="104"/>
      <c r="AL4" s="104"/>
      <c r="AM4" s="104"/>
      <c r="AN4" s="104"/>
      <c r="AO4" s="104">
        <v>3.3</v>
      </c>
      <c r="AP4" s="104"/>
      <c r="AQ4" s="104"/>
      <c r="AR4" s="104" t="s">
        <v>101</v>
      </c>
      <c r="AS4" s="104"/>
      <c r="AT4" s="104"/>
      <c r="AU4" s="104"/>
      <c r="AV4" s="104"/>
      <c r="AW4" s="104"/>
      <c r="AX4" s="104"/>
      <c r="AY4" s="104"/>
      <c r="AZ4" s="104"/>
      <c r="BE4" s="36" t="s">
        <v>198</v>
      </c>
    </row>
    <row r="5" spans="1:62" ht="15">
      <c r="A5" s="105" t="s">
        <v>187</v>
      </c>
      <c r="B5" s="105" t="s">
        <v>50</v>
      </c>
      <c r="C5" s="105" t="s">
        <v>51</v>
      </c>
      <c r="D5" s="106" t="s">
        <v>108</v>
      </c>
      <c r="E5" s="93" t="s">
        <v>107</v>
      </c>
      <c r="F5" s="106" t="s">
        <v>466</v>
      </c>
      <c r="G5" s="94" t="s">
        <v>46</v>
      </c>
      <c r="H5" s="94" t="s">
        <v>55</v>
      </c>
      <c r="I5" s="95" t="s">
        <v>61</v>
      </c>
      <c r="J5" s="92" t="s">
        <v>127</v>
      </c>
      <c r="K5" s="80" t="s">
        <v>62</v>
      </c>
      <c r="L5" s="80" t="s">
        <v>66</v>
      </c>
      <c r="M5" s="80" t="s">
        <v>63</v>
      </c>
      <c r="N5" s="80" t="s">
        <v>64</v>
      </c>
      <c r="O5" s="80" t="s">
        <v>65</v>
      </c>
      <c r="P5" s="80" t="s">
        <v>191</v>
      </c>
      <c r="Q5" s="80" t="s">
        <v>192</v>
      </c>
      <c r="R5" s="79" t="s">
        <v>72</v>
      </c>
      <c r="S5" s="78" t="s">
        <v>78</v>
      </c>
      <c r="T5" s="92" t="s">
        <v>126</v>
      </c>
      <c r="U5" s="79" t="s">
        <v>189</v>
      </c>
      <c r="V5" s="79" t="s">
        <v>79</v>
      </c>
      <c r="W5" s="79" t="s">
        <v>80</v>
      </c>
      <c r="X5" s="79" t="s">
        <v>81</v>
      </c>
      <c r="Y5" s="96" t="s">
        <v>82</v>
      </c>
      <c r="Z5" s="116" t="s">
        <v>71</v>
      </c>
      <c r="AA5" s="90" t="s">
        <v>69</v>
      </c>
      <c r="AB5" s="90" t="s">
        <v>70</v>
      </c>
      <c r="AC5" s="90" t="s">
        <v>73</v>
      </c>
      <c r="AD5" s="90" t="s">
        <v>74</v>
      </c>
      <c r="AE5" s="117" t="s">
        <v>75</v>
      </c>
      <c r="AF5" s="115" t="s">
        <v>76</v>
      </c>
      <c r="AG5" s="118" t="s">
        <v>77</v>
      </c>
      <c r="AH5" s="90" t="s">
        <v>74</v>
      </c>
      <c r="AI5" s="116" t="s">
        <v>190</v>
      </c>
      <c r="AJ5" s="115" t="s">
        <v>56</v>
      </c>
      <c r="AK5" s="119" t="s">
        <v>106</v>
      </c>
      <c r="AL5" s="98" t="s">
        <v>47</v>
      </c>
      <c r="AM5" s="98" t="s">
        <v>88</v>
      </c>
      <c r="AN5" s="98" t="s">
        <v>57</v>
      </c>
      <c r="AO5" s="99" t="s">
        <v>96</v>
      </c>
      <c r="AP5" s="84" t="s">
        <v>59</v>
      </c>
      <c r="AQ5" s="98" t="s">
        <v>58</v>
      </c>
      <c r="AR5" s="98" t="s">
        <v>49</v>
      </c>
      <c r="AS5" s="98" t="s">
        <v>84</v>
      </c>
      <c r="AT5" s="98" t="s">
        <v>85</v>
      </c>
      <c r="AU5" s="98" t="s">
        <v>48</v>
      </c>
      <c r="AV5" s="100" t="s">
        <v>31</v>
      </c>
      <c r="AW5" s="101" t="s">
        <v>32</v>
      </c>
      <c r="AX5" s="100" t="s">
        <v>33</v>
      </c>
      <c r="AY5" s="98" t="s">
        <v>34</v>
      </c>
      <c r="AZ5" s="102" t="s">
        <v>68</v>
      </c>
      <c r="BA5" s="34"/>
      <c r="BB5" s="34"/>
      <c r="BC5" s="34" t="s">
        <v>30</v>
      </c>
      <c r="BD5" s="34" t="s">
        <v>34</v>
      </c>
      <c r="BE5" s="120"/>
      <c r="BF5" s="120" t="s">
        <v>115</v>
      </c>
      <c r="BG5" s="120"/>
      <c r="BH5" s="120"/>
      <c r="BI5" s="121" t="s">
        <v>135</v>
      </c>
      <c r="BJ5" s="121"/>
    </row>
    <row r="6" spans="1:62" ht="60">
      <c r="A6" s="39" t="s">
        <v>186</v>
      </c>
      <c r="B6" s="39" t="s">
        <v>53</v>
      </c>
      <c r="C6" s="39" t="s">
        <v>54</v>
      </c>
      <c r="D6" s="39">
        <f t="shared" ref="D6:D53" si="0">G6+H6+I6+S6+Z6+AF6</f>
        <v>1012600</v>
      </c>
      <c r="E6" s="64">
        <f t="shared" ref="E6:E53" si="1">G6+H6+I6+S6</f>
        <v>933600</v>
      </c>
      <c r="F6" s="179">
        <f>G6/E6</f>
        <v>0.53556126820908312</v>
      </c>
      <c r="G6" s="57">
        <v>500000</v>
      </c>
      <c r="H6" s="57">
        <f t="shared" ref="H6:H36" si="2">$BF$7*AM6</f>
        <v>250000</v>
      </c>
      <c r="I6" s="57">
        <f t="shared" ref="I6:I37" si="3">SUM(J6:R6)</f>
        <v>140400</v>
      </c>
      <c r="J6" s="58"/>
      <c r="K6" s="58">
        <f>20000*1.08</f>
        <v>21600</v>
      </c>
      <c r="L6" s="58">
        <f>10000*1.08</f>
        <v>10800</v>
      </c>
      <c r="M6" s="58">
        <f>50000*1.08</f>
        <v>54000</v>
      </c>
      <c r="N6" s="58">
        <f t="shared" ref="N6:N36" si="4">15000*1.08</f>
        <v>16200.000000000002</v>
      </c>
      <c r="O6" s="58">
        <f t="shared" ref="O6:O36" si="5">20000*1.08</f>
        <v>21600</v>
      </c>
      <c r="P6" s="58"/>
      <c r="Q6" s="58"/>
      <c r="R6" s="65">
        <f t="shared" ref="R6:R36" si="6">$BF$7*AL6*1.08</f>
        <v>16200.000000000002</v>
      </c>
      <c r="S6" s="65">
        <f t="shared" ref="S6:S37" si="7">SUM(T6:Y6)</f>
        <v>43200</v>
      </c>
      <c r="T6" s="68"/>
      <c r="U6" s="68"/>
      <c r="V6" s="65">
        <v>21600</v>
      </c>
      <c r="W6" s="65">
        <v>10800</v>
      </c>
      <c r="X6" s="65">
        <v>10800</v>
      </c>
      <c r="Y6" s="65"/>
      <c r="Z6" s="59">
        <f t="shared" ref="Z6:Z53" si="8">AA6+AC6</f>
        <v>70000</v>
      </c>
      <c r="AA6" s="59">
        <v>55000</v>
      </c>
      <c r="AB6" s="59">
        <v>10000</v>
      </c>
      <c r="AC6" s="59">
        <f t="shared" ref="AC6:AC36" si="9">$BF$10*AL6</f>
        <v>15000</v>
      </c>
      <c r="AD6" s="59">
        <f t="shared" ref="AD6:AD36" si="10">$BF$11*AL6</f>
        <v>0</v>
      </c>
      <c r="AE6" s="59">
        <f t="shared" ref="AE6:AE36" si="11">$BF$12*AL6</f>
        <v>30000</v>
      </c>
      <c r="AF6" s="59">
        <f t="shared" ref="AF6:AF53" si="12">SUM(AG6:AH6)</f>
        <v>9000</v>
      </c>
      <c r="AG6" s="59">
        <f t="shared" ref="AG6:AG36" si="13">$BF$13*AL6</f>
        <v>9000</v>
      </c>
      <c r="AH6" s="73">
        <f t="shared" ref="AH6:AH36" si="14">$BF$11*AL6</f>
        <v>0</v>
      </c>
      <c r="AI6" s="59"/>
      <c r="AJ6" s="74" t="s">
        <v>130</v>
      </c>
      <c r="AK6" s="66">
        <f t="shared" ref="AK6:AK37" si="15">24*24</f>
        <v>576</v>
      </c>
      <c r="AL6" s="37">
        <v>3</v>
      </c>
      <c r="AM6" s="37">
        <v>50</v>
      </c>
      <c r="AN6" s="38">
        <v>81</v>
      </c>
      <c r="AO6" s="70">
        <f>$AO$2*E6*$AO$4/AK6/$AO$3</f>
        <v>42790000</v>
      </c>
      <c r="AP6" s="56" t="s">
        <v>60</v>
      </c>
      <c r="AQ6" s="38" t="s">
        <v>110</v>
      </c>
      <c r="AR6" s="38" t="s">
        <v>83</v>
      </c>
      <c r="AS6" s="38" t="s">
        <v>83</v>
      </c>
      <c r="AT6" s="38" t="s">
        <v>83</v>
      </c>
      <c r="AU6" s="38" t="s">
        <v>111</v>
      </c>
      <c r="AV6" s="40">
        <v>233</v>
      </c>
      <c r="AW6" s="38">
        <v>45</v>
      </c>
      <c r="AX6" s="40">
        <f>E6*AW6</f>
        <v>42012000</v>
      </c>
      <c r="AY6" s="41" t="str">
        <f t="shared" ref="AY6:AY37" si="16">VLOOKUP(E6,$BC$6:$BD$28,2)</f>
        <v>70-80</v>
      </c>
      <c r="AZ6" s="75" t="s">
        <v>141</v>
      </c>
      <c r="BA6" s="37"/>
      <c r="BB6" s="42"/>
      <c r="BC6" s="37">
        <v>200000</v>
      </c>
      <c r="BD6" s="42" t="s">
        <v>35</v>
      </c>
      <c r="BE6" s="120"/>
      <c r="BF6" s="120" t="s">
        <v>112</v>
      </c>
      <c r="BG6" s="122" t="s">
        <v>113</v>
      </c>
      <c r="BH6" s="121" t="s">
        <v>114</v>
      </c>
      <c r="BI6" s="121" t="s">
        <v>136</v>
      </c>
      <c r="BJ6" s="122" t="s">
        <v>142</v>
      </c>
    </row>
    <row r="7" spans="1:62" ht="15">
      <c r="A7" s="39" t="s">
        <v>186</v>
      </c>
      <c r="B7" s="39" t="s">
        <v>53</v>
      </c>
      <c r="C7" s="39" t="s">
        <v>54</v>
      </c>
      <c r="D7" s="39">
        <f t="shared" si="0"/>
        <v>1055800</v>
      </c>
      <c r="E7" s="64">
        <f t="shared" si="1"/>
        <v>976800</v>
      </c>
      <c r="F7" s="179">
        <f t="shared" ref="F7:F70" si="17">G7/E7</f>
        <v>0.51187551187551183</v>
      </c>
      <c r="G7" s="57">
        <v>500000</v>
      </c>
      <c r="H7" s="57">
        <f t="shared" si="2"/>
        <v>250000</v>
      </c>
      <c r="I7" s="57">
        <f t="shared" si="3"/>
        <v>183600</v>
      </c>
      <c r="J7" s="57"/>
      <c r="K7" s="39">
        <f>1.08*100000</f>
        <v>108000</v>
      </c>
      <c r="L7" s="39">
        <f>1.08*20000</f>
        <v>21600</v>
      </c>
      <c r="M7" s="39"/>
      <c r="N7" s="58">
        <f t="shared" si="4"/>
        <v>16200.000000000002</v>
      </c>
      <c r="O7" s="58">
        <f t="shared" si="5"/>
        <v>21600</v>
      </c>
      <c r="P7" s="58"/>
      <c r="Q7" s="58"/>
      <c r="R7" s="65">
        <f t="shared" si="6"/>
        <v>16200.000000000002</v>
      </c>
      <c r="S7" s="65">
        <f t="shared" si="7"/>
        <v>43200</v>
      </c>
      <c r="T7" s="68"/>
      <c r="U7" s="68"/>
      <c r="V7" s="65">
        <v>21600</v>
      </c>
      <c r="W7" s="65">
        <v>10800</v>
      </c>
      <c r="X7" s="65">
        <v>10800</v>
      </c>
      <c r="Y7" s="65"/>
      <c r="Z7" s="59">
        <f t="shared" si="8"/>
        <v>70000</v>
      </c>
      <c r="AA7" s="59">
        <v>55000</v>
      </c>
      <c r="AB7" s="59">
        <v>10000</v>
      </c>
      <c r="AC7" s="59">
        <f t="shared" si="9"/>
        <v>15000</v>
      </c>
      <c r="AD7" s="59">
        <f t="shared" si="10"/>
        <v>0</v>
      </c>
      <c r="AE7" s="59">
        <f t="shared" si="11"/>
        <v>30000</v>
      </c>
      <c r="AF7" s="59">
        <f t="shared" si="12"/>
        <v>9000</v>
      </c>
      <c r="AG7" s="59">
        <f t="shared" si="13"/>
        <v>9000</v>
      </c>
      <c r="AH7" s="59">
        <f t="shared" si="14"/>
        <v>0</v>
      </c>
      <c r="AI7" s="59"/>
      <c r="AJ7" s="59" t="s">
        <v>130</v>
      </c>
      <c r="AK7" s="66">
        <f t="shared" si="15"/>
        <v>576</v>
      </c>
      <c r="AL7" s="37">
        <v>3</v>
      </c>
      <c r="AM7" s="37">
        <v>50</v>
      </c>
      <c r="AN7" s="38">
        <v>81</v>
      </c>
      <c r="AO7" s="70">
        <f t="shared" ref="AO7:AO70" si="18">$AO$2*E7*$AO$4/AK7/$AO$3</f>
        <v>44770000</v>
      </c>
      <c r="AP7" s="39" t="s">
        <v>67</v>
      </c>
      <c r="AQ7" s="38" t="s">
        <v>109</v>
      </c>
      <c r="AR7" s="38" t="s">
        <v>83</v>
      </c>
      <c r="AS7" s="38" t="s">
        <v>83</v>
      </c>
      <c r="AT7" s="38" t="s">
        <v>83</v>
      </c>
      <c r="AU7" s="38" t="s">
        <v>111</v>
      </c>
      <c r="AV7" s="40"/>
      <c r="AW7" s="38"/>
      <c r="AX7" s="40"/>
      <c r="AY7" s="41" t="str">
        <f t="shared" si="16"/>
        <v>70-80</v>
      </c>
      <c r="AZ7" s="75"/>
      <c r="BA7" s="37"/>
      <c r="BB7" s="42"/>
      <c r="BC7" s="37">
        <v>300000</v>
      </c>
      <c r="BD7" s="42" t="s">
        <v>36</v>
      </c>
      <c r="BE7" s="120" t="s">
        <v>89</v>
      </c>
      <c r="BF7" s="123">
        <v>5000</v>
      </c>
      <c r="BG7" s="124">
        <v>3000</v>
      </c>
      <c r="BH7" s="124">
        <v>1000</v>
      </c>
      <c r="BI7" s="121" t="s">
        <v>137</v>
      </c>
      <c r="BJ7" s="121"/>
    </row>
    <row r="8" spans="1:62" ht="15">
      <c r="A8" s="39" t="s">
        <v>186</v>
      </c>
      <c r="B8" s="39" t="s">
        <v>53</v>
      </c>
      <c r="C8" s="39" t="s">
        <v>54</v>
      </c>
      <c r="D8" s="39">
        <f t="shared" si="0"/>
        <v>1109800</v>
      </c>
      <c r="E8" s="64">
        <f t="shared" si="1"/>
        <v>1030800</v>
      </c>
      <c r="F8" s="179">
        <f t="shared" si="17"/>
        <v>0.48506014745828485</v>
      </c>
      <c r="G8" s="57">
        <v>500000</v>
      </c>
      <c r="H8" s="57">
        <f t="shared" si="2"/>
        <v>250000</v>
      </c>
      <c r="I8" s="57">
        <f t="shared" si="3"/>
        <v>237600</v>
      </c>
      <c r="J8" s="57"/>
      <c r="K8" s="39">
        <f>1.08*140000</f>
        <v>151200</v>
      </c>
      <c r="L8" s="39">
        <f>1.08*30000</f>
        <v>32400.000000000004</v>
      </c>
      <c r="M8" s="39"/>
      <c r="N8" s="58">
        <f t="shared" si="4"/>
        <v>16200.000000000002</v>
      </c>
      <c r="O8" s="58">
        <f t="shared" si="5"/>
        <v>21600</v>
      </c>
      <c r="P8" s="58"/>
      <c r="Q8" s="58"/>
      <c r="R8" s="65">
        <f t="shared" si="6"/>
        <v>16200.000000000002</v>
      </c>
      <c r="S8" s="65">
        <f t="shared" si="7"/>
        <v>43200</v>
      </c>
      <c r="T8" s="68"/>
      <c r="U8" s="68"/>
      <c r="V8" s="65">
        <v>21600</v>
      </c>
      <c r="W8" s="65">
        <v>10800</v>
      </c>
      <c r="X8" s="65">
        <v>10800</v>
      </c>
      <c r="Y8" s="65"/>
      <c r="Z8" s="59">
        <f t="shared" si="8"/>
        <v>70000</v>
      </c>
      <c r="AA8" s="59">
        <v>55000</v>
      </c>
      <c r="AB8" s="59">
        <v>10000</v>
      </c>
      <c r="AC8" s="59">
        <f t="shared" si="9"/>
        <v>15000</v>
      </c>
      <c r="AD8" s="59">
        <f t="shared" si="10"/>
        <v>0</v>
      </c>
      <c r="AE8" s="59">
        <f t="shared" si="11"/>
        <v>30000</v>
      </c>
      <c r="AF8" s="59">
        <f t="shared" si="12"/>
        <v>9000</v>
      </c>
      <c r="AG8" s="59">
        <f t="shared" si="13"/>
        <v>9000</v>
      </c>
      <c r="AH8" s="59">
        <f t="shared" si="14"/>
        <v>0</v>
      </c>
      <c r="AI8" s="59"/>
      <c r="AJ8" s="59" t="s">
        <v>130</v>
      </c>
      <c r="AK8" s="66">
        <f t="shared" si="15"/>
        <v>576</v>
      </c>
      <c r="AL8" s="37">
        <v>3</v>
      </c>
      <c r="AM8" s="37">
        <v>50</v>
      </c>
      <c r="AN8" s="38">
        <v>81</v>
      </c>
      <c r="AO8" s="70">
        <f t="shared" si="18"/>
        <v>47245000</v>
      </c>
      <c r="AP8" s="39" t="s">
        <v>102</v>
      </c>
      <c r="AQ8" s="38" t="s">
        <v>109</v>
      </c>
      <c r="AR8" s="38" t="s">
        <v>83</v>
      </c>
      <c r="AS8" s="38" t="s">
        <v>83</v>
      </c>
      <c r="AT8" s="38" t="s">
        <v>83</v>
      </c>
      <c r="AU8" s="38" t="s">
        <v>111</v>
      </c>
      <c r="AV8" s="40"/>
      <c r="AW8" s="38"/>
      <c r="AX8" s="40"/>
      <c r="AY8" s="41" t="str">
        <f t="shared" si="16"/>
        <v>100-110</v>
      </c>
      <c r="AZ8" s="75"/>
      <c r="BA8" s="37"/>
      <c r="BB8" s="42"/>
      <c r="BC8" s="37">
        <v>400000</v>
      </c>
      <c r="BD8" s="42" t="s">
        <v>37</v>
      </c>
      <c r="BE8" s="120" t="s">
        <v>86</v>
      </c>
      <c r="BF8" s="123">
        <v>5000</v>
      </c>
      <c r="BG8" s="123" t="s">
        <v>120</v>
      </c>
      <c r="BH8" s="124">
        <v>5000</v>
      </c>
      <c r="BI8" s="122">
        <v>10000</v>
      </c>
      <c r="BJ8" s="121">
        <v>20000</v>
      </c>
    </row>
    <row r="9" spans="1:62" ht="15">
      <c r="A9" s="39" t="s">
        <v>186</v>
      </c>
      <c r="B9" s="39" t="s">
        <v>53</v>
      </c>
      <c r="C9" s="39" t="s">
        <v>54</v>
      </c>
      <c r="D9" s="39">
        <f t="shared" si="0"/>
        <v>1112600</v>
      </c>
      <c r="E9" s="64">
        <f t="shared" si="1"/>
        <v>1033600</v>
      </c>
      <c r="F9" s="179">
        <f t="shared" si="17"/>
        <v>0.58049535603715174</v>
      </c>
      <c r="G9" s="57">
        <v>600000</v>
      </c>
      <c r="H9" s="57">
        <f t="shared" si="2"/>
        <v>250000</v>
      </c>
      <c r="I9" s="57">
        <f t="shared" si="3"/>
        <v>140400</v>
      </c>
      <c r="J9" s="57"/>
      <c r="K9" s="57">
        <f>20000*1.08</f>
        <v>21600</v>
      </c>
      <c r="L9" s="57">
        <f>10000*1.08</f>
        <v>10800</v>
      </c>
      <c r="M9" s="57">
        <f>50000*1.08</f>
        <v>54000</v>
      </c>
      <c r="N9" s="58">
        <f t="shared" si="4"/>
        <v>16200.000000000002</v>
      </c>
      <c r="O9" s="58">
        <f t="shared" si="5"/>
        <v>21600</v>
      </c>
      <c r="P9" s="58"/>
      <c r="Q9" s="58"/>
      <c r="R9" s="65">
        <f t="shared" si="6"/>
        <v>16200.000000000002</v>
      </c>
      <c r="S9" s="65">
        <f t="shared" si="7"/>
        <v>43200</v>
      </c>
      <c r="T9" s="68"/>
      <c r="U9" s="68"/>
      <c r="V9" s="65">
        <v>21600</v>
      </c>
      <c r="W9" s="65">
        <v>10800</v>
      </c>
      <c r="X9" s="65">
        <v>10800</v>
      </c>
      <c r="Y9" s="65"/>
      <c r="Z9" s="59">
        <f t="shared" si="8"/>
        <v>70000</v>
      </c>
      <c r="AA9" s="59">
        <v>55000</v>
      </c>
      <c r="AB9" s="59">
        <v>10000</v>
      </c>
      <c r="AC9" s="59">
        <f t="shared" si="9"/>
        <v>15000</v>
      </c>
      <c r="AD9" s="59">
        <f t="shared" si="10"/>
        <v>0</v>
      </c>
      <c r="AE9" s="59">
        <f t="shared" si="11"/>
        <v>30000</v>
      </c>
      <c r="AF9" s="59">
        <f t="shared" si="12"/>
        <v>9000</v>
      </c>
      <c r="AG9" s="59">
        <f t="shared" si="13"/>
        <v>9000</v>
      </c>
      <c r="AH9" s="59">
        <f t="shared" si="14"/>
        <v>0</v>
      </c>
      <c r="AI9" s="59"/>
      <c r="AJ9" s="59" t="s">
        <v>130</v>
      </c>
      <c r="AK9" s="66">
        <f t="shared" si="15"/>
        <v>576</v>
      </c>
      <c r="AL9" s="37">
        <v>3</v>
      </c>
      <c r="AM9" s="37">
        <v>50</v>
      </c>
      <c r="AN9" s="38">
        <v>81</v>
      </c>
      <c r="AO9" s="70">
        <f t="shared" si="18"/>
        <v>47373333.333333328</v>
      </c>
      <c r="AP9" s="39" t="s">
        <v>60</v>
      </c>
      <c r="AQ9" s="38" t="s">
        <v>109</v>
      </c>
      <c r="AR9" s="38" t="s">
        <v>83</v>
      </c>
      <c r="AS9" s="38" t="s">
        <v>83</v>
      </c>
      <c r="AT9" s="38" t="s">
        <v>83</v>
      </c>
      <c r="AU9" s="38" t="s">
        <v>111</v>
      </c>
      <c r="AV9" s="40"/>
      <c r="AW9" s="38"/>
      <c r="AX9" s="40"/>
      <c r="AY9" s="41" t="str">
        <f t="shared" si="16"/>
        <v>100-110</v>
      </c>
      <c r="AZ9" s="75"/>
      <c r="BA9" s="37"/>
      <c r="BB9" s="42"/>
      <c r="BC9" s="37">
        <v>800000</v>
      </c>
      <c r="BD9" s="42" t="s">
        <v>155</v>
      </c>
      <c r="BE9" s="120" t="s">
        <v>87</v>
      </c>
      <c r="BF9" s="123">
        <v>5000</v>
      </c>
      <c r="BG9" s="123" t="s">
        <v>120</v>
      </c>
      <c r="BH9" s="124"/>
      <c r="BI9" s="122" t="s">
        <v>118</v>
      </c>
      <c r="BJ9" s="121" t="s">
        <v>118</v>
      </c>
    </row>
    <row r="10" spans="1:62" ht="15">
      <c r="A10" s="39" t="s">
        <v>186</v>
      </c>
      <c r="B10" s="39" t="s">
        <v>53</v>
      </c>
      <c r="C10" s="39" t="s">
        <v>54</v>
      </c>
      <c r="D10" s="39">
        <f t="shared" si="0"/>
        <v>1155800</v>
      </c>
      <c r="E10" s="64">
        <f t="shared" si="1"/>
        <v>1076800</v>
      </c>
      <c r="F10" s="179">
        <f t="shared" si="17"/>
        <v>0.5572065378900446</v>
      </c>
      <c r="G10" s="57">
        <v>600000</v>
      </c>
      <c r="H10" s="57">
        <f t="shared" si="2"/>
        <v>250000</v>
      </c>
      <c r="I10" s="57">
        <f t="shared" si="3"/>
        <v>183600</v>
      </c>
      <c r="J10" s="57"/>
      <c r="K10" s="39">
        <f>1.08*100000</f>
        <v>108000</v>
      </c>
      <c r="L10" s="39">
        <f>1.08*20000</f>
        <v>21600</v>
      </c>
      <c r="M10" s="39"/>
      <c r="N10" s="58">
        <f t="shared" si="4"/>
        <v>16200.000000000002</v>
      </c>
      <c r="O10" s="58">
        <f t="shared" si="5"/>
        <v>21600</v>
      </c>
      <c r="P10" s="58"/>
      <c r="Q10" s="58"/>
      <c r="R10" s="65">
        <f t="shared" si="6"/>
        <v>16200.000000000002</v>
      </c>
      <c r="S10" s="65">
        <f t="shared" si="7"/>
        <v>43200</v>
      </c>
      <c r="T10" s="68"/>
      <c r="U10" s="68"/>
      <c r="V10" s="65">
        <v>21600</v>
      </c>
      <c r="W10" s="65">
        <v>10800</v>
      </c>
      <c r="X10" s="65">
        <v>10800</v>
      </c>
      <c r="Y10" s="65"/>
      <c r="Z10" s="59">
        <f t="shared" si="8"/>
        <v>70000</v>
      </c>
      <c r="AA10" s="59">
        <v>55000</v>
      </c>
      <c r="AB10" s="59">
        <v>10000</v>
      </c>
      <c r="AC10" s="59">
        <f t="shared" si="9"/>
        <v>15000</v>
      </c>
      <c r="AD10" s="59">
        <f t="shared" si="10"/>
        <v>0</v>
      </c>
      <c r="AE10" s="59">
        <f t="shared" si="11"/>
        <v>30000</v>
      </c>
      <c r="AF10" s="59">
        <f t="shared" si="12"/>
        <v>9000</v>
      </c>
      <c r="AG10" s="59">
        <f t="shared" si="13"/>
        <v>9000</v>
      </c>
      <c r="AH10" s="59">
        <f t="shared" si="14"/>
        <v>0</v>
      </c>
      <c r="AI10" s="59"/>
      <c r="AJ10" s="59" t="s">
        <v>130</v>
      </c>
      <c r="AK10" s="66">
        <f t="shared" si="15"/>
        <v>576</v>
      </c>
      <c r="AL10" s="37">
        <v>3</v>
      </c>
      <c r="AM10" s="37">
        <v>50</v>
      </c>
      <c r="AN10" s="38">
        <v>81</v>
      </c>
      <c r="AO10" s="70">
        <f t="shared" si="18"/>
        <v>49353333.333333328</v>
      </c>
      <c r="AP10" s="39" t="s">
        <v>67</v>
      </c>
      <c r="AQ10" s="38" t="s">
        <v>109</v>
      </c>
      <c r="AR10" s="38" t="s">
        <v>83</v>
      </c>
      <c r="AS10" s="38" t="s">
        <v>83</v>
      </c>
      <c r="AT10" s="38" t="s">
        <v>83</v>
      </c>
      <c r="AU10" s="38" t="s">
        <v>111</v>
      </c>
      <c r="AV10" s="40"/>
      <c r="AW10" s="38"/>
      <c r="AX10" s="40"/>
      <c r="AY10" s="41" t="str">
        <f t="shared" si="16"/>
        <v>100-110</v>
      </c>
      <c r="AZ10" s="75"/>
      <c r="BA10" s="37"/>
      <c r="BB10" s="42"/>
      <c r="BC10" s="37">
        <v>900000</v>
      </c>
      <c r="BD10" s="42" t="s">
        <v>41</v>
      </c>
      <c r="BE10" s="120" t="s">
        <v>77</v>
      </c>
      <c r="BF10" s="123">
        <v>5000</v>
      </c>
      <c r="BG10" s="123" t="s">
        <v>120</v>
      </c>
      <c r="BH10" s="124"/>
      <c r="BI10" s="122" t="s">
        <v>118</v>
      </c>
      <c r="BJ10" s="121" t="s">
        <v>118</v>
      </c>
    </row>
    <row r="11" spans="1:62" ht="15">
      <c r="A11" s="39" t="s">
        <v>186</v>
      </c>
      <c r="B11" s="39" t="s">
        <v>53</v>
      </c>
      <c r="C11" s="39" t="s">
        <v>54</v>
      </c>
      <c r="D11" s="39">
        <f t="shared" si="0"/>
        <v>1196200</v>
      </c>
      <c r="E11" s="64">
        <f t="shared" si="1"/>
        <v>1117200</v>
      </c>
      <c r="F11" s="179">
        <f t="shared" si="17"/>
        <v>0.44754744002864305</v>
      </c>
      <c r="G11" s="57">
        <v>500000</v>
      </c>
      <c r="H11" s="57">
        <f t="shared" si="2"/>
        <v>250000</v>
      </c>
      <c r="I11" s="57">
        <f t="shared" si="3"/>
        <v>324000</v>
      </c>
      <c r="J11" s="57"/>
      <c r="K11" s="39">
        <f>1.08*200000</f>
        <v>216000</v>
      </c>
      <c r="L11" s="39">
        <f>1.08*50000</f>
        <v>54000</v>
      </c>
      <c r="M11" s="39"/>
      <c r="N11" s="58">
        <f t="shared" si="4"/>
        <v>16200.000000000002</v>
      </c>
      <c r="O11" s="58">
        <f t="shared" si="5"/>
        <v>21600</v>
      </c>
      <c r="P11" s="58"/>
      <c r="Q11" s="58"/>
      <c r="R11" s="65">
        <f t="shared" si="6"/>
        <v>16200.000000000002</v>
      </c>
      <c r="S11" s="65">
        <f t="shared" si="7"/>
        <v>43200</v>
      </c>
      <c r="T11" s="68"/>
      <c r="U11" s="68"/>
      <c r="V11" s="65">
        <v>21600</v>
      </c>
      <c r="W11" s="65">
        <v>10800</v>
      </c>
      <c r="X11" s="65">
        <v>10800</v>
      </c>
      <c r="Y11" s="65"/>
      <c r="Z11" s="59">
        <f t="shared" si="8"/>
        <v>70000</v>
      </c>
      <c r="AA11" s="59">
        <v>55000</v>
      </c>
      <c r="AB11" s="59">
        <v>10000</v>
      </c>
      <c r="AC11" s="59">
        <f t="shared" si="9"/>
        <v>15000</v>
      </c>
      <c r="AD11" s="59">
        <f t="shared" si="10"/>
        <v>0</v>
      </c>
      <c r="AE11" s="59">
        <f t="shared" si="11"/>
        <v>30000</v>
      </c>
      <c r="AF11" s="59">
        <f t="shared" si="12"/>
        <v>9000</v>
      </c>
      <c r="AG11" s="59">
        <f t="shared" si="13"/>
        <v>9000</v>
      </c>
      <c r="AH11" s="59">
        <f t="shared" si="14"/>
        <v>0</v>
      </c>
      <c r="AI11" s="59"/>
      <c r="AJ11" s="59" t="s">
        <v>130</v>
      </c>
      <c r="AK11" s="66">
        <f t="shared" si="15"/>
        <v>576</v>
      </c>
      <c r="AL11" s="37">
        <v>3</v>
      </c>
      <c r="AM11" s="37">
        <v>50</v>
      </c>
      <c r="AN11" s="38">
        <v>81</v>
      </c>
      <c r="AO11" s="70">
        <f t="shared" si="18"/>
        <v>51205000</v>
      </c>
      <c r="AP11" s="39" t="s">
        <v>103</v>
      </c>
      <c r="AQ11" s="38" t="s">
        <v>109</v>
      </c>
      <c r="AR11" s="38" t="s">
        <v>83</v>
      </c>
      <c r="AS11" s="38" t="s">
        <v>83</v>
      </c>
      <c r="AT11" s="38" t="s">
        <v>83</v>
      </c>
      <c r="AU11" s="38" t="s">
        <v>111</v>
      </c>
      <c r="AV11" s="40"/>
      <c r="AW11" s="38"/>
      <c r="AX11" s="40"/>
      <c r="AY11" s="41" t="str">
        <f t="shared" si="16"/>
        <v>100-110</v>
      </c>
      <c r="AZ11" s="75"/>
      <c r="BA11" s="37"/>
      <c r="BB11" s="42"/>
      <c r="BC11" s="37">
        <v>500000</v>
      </c>
      <c r="BD11" s="42" t="s">
        <v>38</v>
      </c>
      <c r="BE11" s="120" t="s">
        <v>126</v>
      </c>
      <c r="BF11" s="123"/>
      <c r="BG11" s="123"/>
      <c r="BH11" s="124"/>
      <c r="BI11" s="122">
        <v>20000</v>
      </c>
      <c r="BJ11" s="121"/>
    </row>
    <row r="12" spans="1:62" ht="15">
      <c r="A12" s="39" t="s">
        <v>186</v>
      </c>
      <c r="B12" s="39" t="s">
        <v>53</v>
      </c>
      <c r="C12" s="39" t="s">
        <v>54</v>
      </c>
      <c r="D12" s="39">
        <f t="shared" si="0"/>
        <v>1196200</v>
      </c>
      <c r="E12" s="64">
        <f t="shared" si="1"/>
        <v>1117200</v>
      </c>
      <c r="F12" s="179">
        <f t="shared" si="17"/>
        <v>0.44754744002864305</v>
      </c>
      <c r="G12" s="57">
        <v>500000</v>
      </c>
      <c r="H12" s="57">
        <f t="shared" si="2"/>
        <v>250000</v>
      </c>
      <c r="I12" s="57">
        <f t="shared" si="3"/>
        <v>324000</v>
      </c>
      <c r="J12" s="58"/>
      <c r="K12" s="56">
        <f>1.08*200000</f>
        <v>216000</v>
      </c>
      <c r="L12" s="56">
        <f>1.08*50000</f>
        <v>54000</v>
      </c>
      <c r="M12" s="56"/>
      <c r="N12" s="58">
        <f t="shared" si="4"/>
        <v>16200.000000000002</v>
      </c>
      <c r="O12" s="58">
        <f t="shared" si="5"/>
        <v>21600</v>
      </c>
      <c r="P12" s="58"/>
      <c r="Q12" s="58"/>
      <c r="R12" s="65">
        <f t="shared" si="6"/>
        <v>16200.000000000002</v>
      </c>
      <c r="S12" s="65">
        <f t="shared" si="7"/>
        <v>43200</v>
      </c>
      <c r="T12" s="68"/>
      <c r="U12" s="68"/>
      <c r="V12" s="65">
        <v>21600</v>
      </c>
      <c r="W12" s="65">
        <v>10800</v>
      </c>
      <c r="X12" s="65">
        <v>10800</v>
      </c>
      <c r="Y12" s="65"/>
      <c r="Z12" s="59">
        <f t="shared" si="8"/>
        <v>70000</v>
      </c>
      <c r="AA12" s="59">
        <v>55000</v>
      </c>
      <c r="AB12" s="59">
        <v>10000</v>
      </c>
      <c r="AC12" s="59">
        <f t="shared" si="9"/>
        <v>15000</v>
      </c>
      <c r="AD12" s="59">
        <f t="shared" si="10"/>
        <v>0</v>
      </c>
      <c r="AE12" s="59">
        <f t="shared" si="11"/>
        <v>30000</v>
      </c>
      <c r="AF12" s="59">
        <f t="shared" si="12"/>
        <v>9000</v>
      </c>
      <c r="AG12" s="59">
        <f t="shared" si="13"/>
        <v>9000</v>
      </c>
      <c r="AH12" s="59">
        <f t="shared" si="14"/>
        <v>0</v>
      </c>
      <c r="AI12" s="59"/>
      <c r="AJ12" s="59" t="s">
        <v>130</v>
      </c>
      <c r="AK12" s="66">
        <f t="shared" si="15"/>
        <v>576</v>
      </c>
      <c r="AL12" s="37">
        <v>3</v>
      </c>
      <c r="AM12" s="37">
        <v>50</v>
      </c>
      <c r="AN12" s="38">
        <v>81</v>
      </c>
      <c r="AO12" s="70">
        <f t="shared" si="18"/>
        <v>51205000</v>
      </c>
      <c r="AP12" s="39" t="s">
        <v>104</v>
      </c>
      <c r="AQ12" s="38" t="s">
        <v>109</v>
      </c>
      <c r="AR12" s="38" t="s">
        <v>83</v>
      </c>
      <c r="AS12" s="38" t="s">
        <v>83</v>
      </c>
      <c r="AT12" s="38" t="s">
        <v>83</v>
      </c>
      <c r="AU12" s="38" t="s">
        <v>111</v>
      </c>
      <c r="AV12" s="40"/>
      <c r="AW12" s="38"/>
      <c r="AX12" s="40"/>
      <c r="AY12" s="41" t="str">
        <f t="shared" si="16"/>
        <v>100-110</v>
      </c>
      <c r="AZ12" s="75"/>
      <c r="BA12" s="37"/>
      <c r="BB12" s="42"/>
      <c r="BC12" s="37">
        <v>600000</v>
      </c>
      <c r="BD12" s="42" t="s">
        <v>39</v>
      </c>
      <c r="BE12" s="120" t="s">
        <v>73</v>
      </c>
      <c r="BF12" s="123">
        <v>10000</v>
      </c>
      <c r="BG12" s="123" t="s">
        <v>120</v>
      </c>
      <c r="BH12" s="124"/>
      <c r="BI12" s="122" t="s">
        <v>118</v>
      </c>
      <c r="BJ12" s="121" t="s">
        <v>118</v>
      </c>
    </row>
    <row r="13" spans="1:62" ht="15">
      <c r="A13" s="39" t="s">
        <v>186</v>
      </c>
      <c r="B13" s="39" t="s">
        <v>53</v>
      </c>
      <c r="C13" s="39" t="s">
        <v>54</v>
      </c>
      <c r="D13" s="39">
        <f t="shared" si="0"/>
        <v>1196200</v>
      </c>
      <c r="E13" s="64">
        <f t="shared" si="1"/>
        <v>1117200</v>
      </c>
      <c r="F13" s="179">
        <f t="shared" si="17"/>
        <v>0.44754744002864305</v>
      </c>
      <c r="G13" s="57">
        <v>500000</v>
      </c>
      <c r="H13" s="57">
        <f t="shared" si="2"/>
        <v>250000</v>
      </c>
      <c r="I13" s="57">
        <f t="shared" si="3"/>
        <v>324000</v>
      </c>
      <c r="J13" s="57"/>
      <c r="K13" s="39">
        <f>1.08*200000</f>
        <v>216000</v>
      </c>
      <c r="L13" s="39">
        <f>1.08*50000</f>
        <v>54000</v>
      </c>
      <c r="M13" s="39"/>
      <c r="N13" s="58">
        <f t="shared" si="4"/>
        <v>16200.000000000002</v>
      </c>
      <c r="O13" s="58">
        <f t="shared" si="5"/>
        <v>21600</v>
      </c>
      <c r="P13" s="58"/>
      <c r="Q13" s="58"/>
      <c r="R13" s="65">
        <f t="shared" si="6"/>
        <v>16200.000000000002</v>
      </c>
      <c r="S13" s="65">
        <f t="shared" si="7"/>
        <v>43200</v>
      </c>
      <c r="T13" s="68"/>
      <c r="U13" s="68"/>
      <c r="V13" s="65">
        <v>21600</v>
      </c>
      <c r="W13" s="65">
        <v>10800</v>
      </c>
      <c r="X13" s="65">
        <v>10800</v>
      </c>
      <c r="Y13" s="65"/>
      <c r="Z13" s="59">
        <f t="shared" si="8"/>
        <v>70000</v>
      </c>
      <c r="AA13" s="59">
        <v>55000</v>
      </c>
      <c r="AB13" s="59">
        <v>10000</v>
      </c>
      <c r="AC13" s="59">
        <f t="shared" si="9"/>
        <v>15000</v>
      </c>
      <c r="AD13" s="59">
        <f t="shared" si="10"/>
        <v>0</v>
      </c>
      <c r="AE13" s="59">
        <f t="shared" si="11"/>
        <v>30000</v>
      </c>
      <c r="AF13" s="59">
        <f t="shared" si="12"/>
        <v>9000</v>
      </c>
      <c r="AG13" s="59">
        <f t="shared" si="13"/>
        <v>9000</v>
      </c>
      <c r="AH13" s="59">
        <f t="shared" si="14"/>
        <v>0</v>
      </c>
      <c r="AI13" s="59"/>
      <c r="AJ13" s="59" t="s">
        <v>130</v>
      </c>
      <c r="AK13" s="66">
        <f t="shared" si="15"/>
        <v>576</v>
      </c>
      <c r="AL13" s="37">
        <v>3</v>
      </c>
      <c r="AM13" s="37">
        <v>50</v>
      </c>
      <c r="AN13" s="38">
        <v>81</v>
      </c>
      <c r="AO13" s="70">
        <f t="shared" si="18"/>
        <v>51205000</v>
      </c>
      <c r="AP13" s="39" t="s">
        <v>105</v>
      </c>
      <c r="AQ13" s="38" t="s">
        <v>109</v>
      </c>
      <c r="AR13" s="38" t="s">
        <v>83</v>
      </c>
      <c r="AS13" s="38" t="s">
        <v>83</v>
      </c>
      <c r="AT13" s="38" t="s">
        <v>83</v>
      </c>
      <c r="AU13" s="38" t="s">
        <v>111</v>
      </c>
      <c r="AV13" s="40"/>
      <c r="AW13" s="38"/>
      <c r="AX13" s="40"/>
      <c r="AY13" s="41" t="str">
        <f t="shared" si="16"/>
        <v>100-110</v>
      </c>
      <c r="AZ13" s="75"/>
      <c r="BA13" s="37"/>
      <c r="BB13" s="42"/>
      <c r="BC13" s="37">
        <v>700000</v>
      </c>
      <c r="BD13" s="42" t="s">
        <v>40</v>
      </c>
      <c r="BE13" s="120" t="s">
        <v>74</v>
      </c>
      <c r="BF13" s="123">
        <v>3000</v>
      </c>
      <c r="BG13" s="123" t="s">
        <v>120</v>
      </c>
      <c r="BH13" s="124">
        <v>3000</v>
      </c>
      <c r="BI13" s="122" t="s">
        <v>118</v>
      </c>
      <c r="BJ13" s="121" t="s">
        <v>118</v>
      </c>
    </row>
    <row r="14" spans="1:62" ht="15">
      <c r="A14" s="39" t="s">
        <v>186</v>
      </c>
      <c r="B14" s="39" t="s">
        <v>53</v>
      </c>
      <c r="C14" s="39" t="s">
        <v>54</v>
      </c>
      <c r="D14" s="39">
        <f t="shared" si="0"/>
        <v>1209800</v>
      </c>
      <c r="E14" s="64">
        <f t="shared" si="1"/>
        <v>1130800</v>
      </c>
      <c r="F14" s="179">
        <f t="shared" si="17"/>
        <v>0.53059780686239832</v>
      </c>
      <c r="G14" s="57">
        <v>600000</v>
      </c>
      <c r="H14" s="57">
        <f t="shared" si="2"/>
        <v>250000</v>
      </c>
      <c r="I14" s="57">
        <f t="shared" si="3"/>
        <v>237600</v>
      </c>
      <c r="J14" s="57"/>
      <c r="K14" s="39">
        <f>1.08*140000</f>
        <v>151200</v>
      </c>
      <c r="L14" s="39">
        <f>1.08*30000</f>
        <v>32400.000000000004</v>
      </c>
      <c r="M14" s="39"/>
      <c r="N14" s="58">
        <f t="shared" si="4"/>
        <v>16200.000000000002</v>
      </c>
      <c r="O14" s="58">
        <f t="shared" si="5"/>
        <v>21600</v>
      </c>
      <c r="P14" s="58"/>
      <c r="Q14" s="58"/>
      <c r="R14" s="65">
        <f t="shared" si="6"/>
        <v>16200.000000000002</v>
      </c>
      <c r="S14" s="65">
        <f t="shared" si="7"/>
        <v>43200</v>
      </c>
      <c r="T14" s="68"/>
      <c r="U14" s="68"/>
      <c r="V14" s="65">
        <v>21600</v>
      </c>
      <c r="W14" s="65">
        <v>10800</v>
      </c>
      <c r="X14" s="65">
        <v>10800</v>
      </c>
      <c r="Y14" s="65"/>
      <c r="Z14" s="59">
        <f t="shared" si="8"/>
        <v>70000</v>
      </c>
      <c r="AA14" s="59">
        <v>55000</v>
      </c>
      <c r="AB14" s="59">
        <v>10000</v>
      </c>
      <c r="AC14" s="59">
        <f t="shared" si="9"/>
        <v>15000</v>
      </c>
      <c r="AD14" s="59">
        <f t="shared" si="10"/>
        <v>0</v>
      </c>
      <c r="AE14" s="59">
        <f t="shared" si="11"/>
        <v>30000</v>
      </c>
      <c r="AF14" s="59">
        <f t="shared" si="12"/>
        <v>9000</v>
      </c>
      <c r="AG14" s="59">
        <f t="shared" si="13"/>
        <v>9000</v>
      </c>
      <c r="AH14" s="59">
        <f t="shared" si="14"/>
        <v>0</v>
      </c>
      <c r="AI14" s="59"/>
      <c r="AJ14" s="59" t="s">
        <v>130</v>
      </c>
      <c r="AK14" s="66">
        <f t="shared" si="15"/>
        <v>576</v>
      </c>
      <c r="AL14" s="37">
        <v>3</v>
      </c>
      <c r="AM14" s="37">
        <v>50</v>
      </c>
      <c r="AN14" s="38">
        <v>81</v>
      </c>
      <c r="AO14" s="70">
        <f t="shared" si="18"/>
        <v>51828333.333333328</v>
      </c>
      <c r="AP14" s="39" t="s">
        <v>102</v>
      </c>
      <c r="AQ14" s="38" t="s">
        <v>109</v>
      </c>
      <c r="AR14" s="38" t="s">
        <v>83</v>
      </c>
      <c r="AS14" s="38" t="s">
        <v>83</v>
      </c>
      <c r="AT14" s="38" t="s">
        <v>83</v>
      </c>
      <c r="AU14" s="38" t="s">
        <v>111</v>
      </c>
      <c r="AV14" s="40"/>
      <c r="AW14" s="38"/>
      <c r="AX14" s="40"/>
      <c r="AY14" s="41" t="str">
        <f t="shared" si="16"/>
        <v>100-110</v>
      </c>
      <c r="AZ14" s="75"/>
      <c r="BA14" s="37"/>
      <c r="BB14" s="42"/>
      <c r="BC14" s="37">
        <v>1000000</v>
      </c>
      <c r="BD14" s="42" t="s">
        <v>42</v>
      </c>
    </row>
    <row r="15" spans="1:62" ht="15">
      <c r="A15" s="39" t="s">
        <v>186</v>
      </c>
      <c r="B15" s="39" t="s">
        <v>53</v>
      </c>
      <c r="C15" s="39" t="s">
        <v>54</v>
      </c>
      <c r="D15" s="39">
        <f t="shared" si="0"/>
        <v>1212600</v>
      </c>
      <c r="E15" s="64">
        <f t="shared" si="1"/>
        <v>1133600</v>
      </c>
      <c r="F15" s="179">
        <f t="shared" si="17"/>
        <v>0.6175017642907551</v>
      </c>
      <c r="G15" s="57">
        <v>700000</v>
      </c>
      <c r="H15" s="57">
        <f t="shared" si="2"/>
        <v>250000</v>
      </c>
      <c r="I15" s="57">
        <f t="shared" si="3"/>
        <v>140400</v>
      </c>
      <c r="J15" s="57"/>
      <c r="K15" s="57">
        <f>20000*1.08</f>
        <v>21600</v>
      </c>
      <c r="L15" s="57">
        <f>10000*1.08</f>
        <v>10800</v>
      </c>
      <c r="M15" s="57">
        <f>50000*1.08</f>
        <v>54000</v>
      </c>
      <c r="N15" s="58">
        <f t="shared" si="4"/>
        <v>16200.000000000002</v>
      </c>
      <c r="O15" s="58">
        <f t="shared" si="5"/>
        <v>21600</v>
      </c>
      <c r="P15" s="58"/>
      <c r="Q15" s="58"/>
      <c r="R15" s="65">
        <f t="shared" si="6"/>
        <v>16200.000000000002</v>
      </c>
      <c r="S15" s="65">
        <f t="shared" si="7"/>
        <v>43200</v>
      </c>
      <c r="T15" s="68"/>
      <c r="U15" s="68"/>
      <c r="V15" s="65">
        <v>21600</v>
      </c>
      <c r="W15" s="65">
        <v>10800</v>
      </c>
      <c r="X15" s="65">
        <v>10800</v>
      </c>
      <c r="Y15" s="65"/>
      <c r="Z15" s="59">
        <f t="shared" si="8"/>
        <v>70000</v>
      </c>
      <c r="AA15" s="59">
        <v>55000</v>
      </c>
      <c r="AB15" s="59">
        <v>10000</v>
      </c>
      <c r="AC15" s="59">
        <f t="shared" si="9"/>
        <v>15000</v>
      </c>
      <c r="AD15" s="59">
        <f t="shared" si="10"/>
        <v>0</v>
      </c>
      <c r="AE15" s="59">
        <f t="shared" si="11"/>
        <v>30000</v>
      </c>
      <c r="AF15" s="59">
        <f t="shared" si="12"/>
        <v>9000</v>
      </c>
      <c r="AG15" s="59">
        <f t="shared" si="13"/>
        <v>9000</v>
      </c>
      <c r="AH15" s="59">
        <f t="shared" si="14"/>
        <v>0</v>
      </c>
      <c r="AI15" s="59"/>
      <c r="AJ15" s="59" t="s">
        <v>130</v>
      </c>
      <c r="AK15" s="66">
        <f t="shared" si="15"/>
        <v>576</v>
      </c>
      <c r="AL15" s="37">
        <v>3</v>
      </c>
      <c r="AM15" s="37">
        <v>50</v>
      </c>
      <c r="AN15" s="38">
        <v>81</v>
      </c>
      <c r="AO15" s="70">
        <f t="shared" si="18"/>
        <v>51956666.666666664</v>
      </c>
      <c r="AP15" s="39" t="s">
        <v>60</v>
      </c>
      <c r="AQ15" s="38" t="s">
        <v>109</v>
      </c>
      <c r="AR15" s="38" t="s">
        <v>83</v>
      </c>
      <c r="AS15" s="38" t="s">
        <v>83</v>
      </c>
      <c r="AT15" s="38" t="s">
        <v>83</v>
      </c>
      <c r="AU15" s="38" t="s">
        <v>111</v>
      </c>
      <c r="AV15" s="40"/>
      <c r="AW15" s="38"/>
      <c r="AX15" s="40"/>
      <c r="AY15" s="41" t="str">
        <f t="shared" si="16"/>
        <v>100-110</v>
      </c>
      <c r="AZ15" s="75"/>
      <c r="BA15" s="37"/>
      <c r="BB15" s="42"/>
      <c r="BC15" s="37">
        <v>1400000</v>
      </c>
      <c r="BD15" s="42" t="s">
        <v>156</v>
      </c>
    </row>
    <row r="16" spans="1:62">
      <c r="A16" s="39" t="s">
        <v>186</v>
      </c>
      <c r="B16" s="39" t="s">
        <v>53</v>
      </c>
      <c r="C16" s="39" t="s">
        <v>54</v>
      </c>
      <c r="D16" s="39">
        <f t="shared" si="0"/>
        <v>1236800</v>
      </c>
      <c r="E16" s="64">
        <f t="shared" si="1"/>
        <v>1149800</v>
      </c>
      <c r="F16" s="179">
        <f t="shared" si="17"/>
        <v>0.60880153070099152</v>
      </c>
      <c r="G16" s="39">
        <v>700000</v>
      </c>
      <c r="H16" s="57">
        <f t="shared" si="2"/>
        <v>250000</v>
      </c>
      <c r="I16" s="57">
        <f t="shared" si="3"/>
        <v>145800</v>
      </c>
      <c r="J16" s="57"/>
      <c r="K16" s="57">
        <f>20000*1.08</f>
        <v>21600</v>
      </c>
      <c r="L16" s="57">
        <f>10000*1.08</f>
        <v>10800</v>
      </c>
      <c r="M16" s="57">
        <f>50000*1.08</f>
        <v>54000</v>
      </c>
      <c r="N16" s="58">
        <f t="shared" si="4"/>
        <v>16200.000000000002</v>
      </c>
      <c r="O16" s="58">
        <f t="shared" si="5"/>
        <v>21600</v>
      </c>
      <c r="P16" s="58"/>
      <c r="Q16" s="58"/>
      <c r="R16" s="65">
        <f t="shared" si="6"/>
        <v>21600</v>
      </c>
      <c r="S16" s="65">
        <f t="shared" si="7"/>
        <v>54000</v>
      </c>
      <c r="T16" s="68"/>
      <c r="U16" s="68"/>
      <c r="V16" s="65">
        <v>21600</v>
      </c>
      <c r="W16" s="65">
        <v>10800</v>
      </c>
      <c r="X16" s="65">
        <v>10800</v>
      </c>
      <c r="Y16" s="65">
        <v>10800</v>
      </c>
      <c r="Z16" s="59">
        <f t="shared" si="8"/>
        <v>75000</v>
      </c>
      <c r="AA16" s="59">
        <v>55000</v>
      </c>
      <c r="AB16" s="59">
        <v>10000</v>
      </c>
      <c r="AC16" s="59">
        <f t="shared" si="9"/>
        <v>20000</v>
      </c>
      <c r="AD16" s="59">
        <f t="shared" si="10"/>
        <v>0</v>
      </c>
      <c r="AE16" s="59">
        <f t="shared" si="11"/>
        <v>40000</v>
      </c>
      <c r="AF16" s="59">
        <f t="shared" si="12"/>
        <v>12000</v>
      </c>
      <c r="AG16" s="59">
        <f t="shared" si="13"/>
        <v>12000</v>
      </c>
      <c r="AH16" s="59">
        <f t="shared" si="14"/>
        <v>0</v>
      </c>
      <c r="AI16" s="59"/>
      <c r="AJ16" s="59" t="s">
        <v>130</v>
      </c>
      <c r="AK16" s="66">
        <f t="shared" si="15"/>
        <v>576</v>
      </c>
      <c r="AL16" s="37">
        <v>4</v>
      </c>
      <c r="AM16" s="37">
        <v>50</v>
      </c>
      <c r="AN16" s="38">
        <v>91</v>
      </c>
      <c r="AO16" s="70">
        <f t="shared" si="18"/>
        <v>52699166.666666664</v>
      </c>
      <c r="AP16" s="39" t="s">
        <v>60</v>
      </c>
      <c r="AQ16" s="38" t="s">
        <v>109</v>
      </c>
      <c r="AR16" s="38" t="s">
        <v>83</v>
      </c>
      <c r="AS16" s="38" t="s">
        <v>83</v>
      </c>
      <c r="AT16" s="38" t="s">
        <v>83</v>
      </c>
      <c r="AU16" s="38" t="s">
        <v>111</v>
      </c>
      <c r="AV16" s="40"/>
      <c r="AW16" s="38"/>
      <c r="AX16" s="40"/>
      <c r="AY16" s="41" t="str">
        <f t="shared" si="16"/>
        <v>100-110</v>
      </c>
      <c r="AZ16" s="75"/>
      <c r="BA16" s="37"/>
      <c r="BB16" s="42"/>
      <c r="BC16" s="136"/>
      <c r="BD16" s="138"/>
    </row>
    <row r="17" spans="1:56" ht="15">
      <c r="A17" s="39" t="s">
        <v>186</v>
      </c>
      <c r="B17" s="39" t="s">
        <v>53</v>
      </c>
      <c r="C17" s="39" t="s">
        <v>54</v>
      </c>
      <c r="D17" s="39">
        <f t="shared" si="0"/>
        <v>1255800</v>
      </c>
      <c r="E17" s="64">
        <f t="shared" si="1"/>
        <v>1176800</v>
      </c>
      <c r="F17" s="179">
        <f t="shared" si="17"/>
        <v>0.5948334466349422</v>
      </c>
      <c r="G17" s="57">
        <v>700000</v>
      </c>
      <c r="H17" s="57">
        <f t="shared" si="2"/>
        <v>250000</v>
      </c>
      <c r="I17" s="57">
        <f t="shared" si="3"/>
        <v>183600</v>
      </c>
      <c r="J17" s="57"/>
      <c r="K17" s="39">
        <f>1.08*100000</f>
        <v>108000</v>
      </c>
      <c r="L17" s="39">
        <f>1.08*20000</f>
        <v>21600</v>
      </c>
      <c r="M17" s="39"/>
      <c r="N17" s="58">
        <f t="shared" si="4"/>
        <v>16200.000000000002</v>
      </c>
      <c r="O17" s="58">
        <f t="shared" si="5"/>
        <v>21600</v>
      </c>
      <c r="P17" s="58"/>
      <c r="Q17" s="58"/>
      <c r="R17" s="65">
        <f t="shared" si="6"/>
        <v>16200.000000000002</v>
      </c>
      <c r="S17" s="65">
        <f t="shared" si="7"/>
        <v>43200</v>
      </c>
      <c r="T17" s="68"/>
      <c r="U17" s="68"/>
      <c r="V17" s="65">
        <v>21600</v>
      </c>
      <c r="W17" s="65">
        <v>10800</v>
      </c>
      <c r="X17" s="65">
        <v>10800</v>
      </c>
      <c r="Y17" s="65"/>
      <c r="Z17" s="59">
        <f t="shared" si="8"/>
        <v>70000</v>
      </c>
      <c r="AA17" s="59">
        <v>55000</v>
      </c>
      <c r="AB17" s="59">
        <v>10000</v>
      </c>
      <c r="AC17" s="59">
        <f t="shared" si="9"/>
        <v>15000</v>
      </c>
      <c r="AD17" s="59">
        <f t="shared" si="10"/>
        <v>0</v>
      </c>
      <c r="AE17" s="59">
        <f t="shared" si="11"/>
        <v>30000</v>
      </c>
      <c r="AF17" s="59">
        <f t="shared" si="12"/>
        <v>9000</v>
      </c>
      <c r="AG17" s="59">
        <f t="shared" si="13"/>
        <v>9000</v>
      </c>
      <c r="AH17" s="59">
        <f t="shared" si="14"/>
        <v>0</v>
      </c>
      <c r="AI17" s="59"/>
      <c r="AJ17" s="59" t="s">
        <v>130</v>
      </c>
      <c r="AK17" s="66">
        <f t="shared" si="15"/>
        <v>576</v>
      </c>
      <c r="AL17" s="37">
        <v>3</v>
      </c>
      <c r="AM17" s="37">
        <v>50</v>
      </c>
      <c r="AN17" s="38">
        <v>81</v>
      </c>
      <c r="AO17" s="70">
        <f t="shared" si="18"/>
        <v>53936666.666666664</v>
      </c>
      <c r="AP17" s="39" t="s">
        <v>67</v>
      </c>
      <c r="AQ17" s="38" t="s">
        <v>109</v>
      </c>
      <c r="AR17" s="38" t="s">
        <v>83</v>
      </c>
      <c r="AS17" s="38" t="s">
        <v>83</v>
      </c>
      <c r="AT17" s="38" t="s">
        <v>83</v>
      </c>
      <c r="AU17" s="38" t="s">
        <v>111</v>
      </c>
      <c r="AV17" s="40"/>
      <c r="AW17" s="38"/>
      <c r="AX17" s="40"/>
      <c r="AY17" s="41" t="str">
        <f t="shared" si="16"/>
        <v>100-110</v>
      </c>
      <c r="AZ17" s="75"/>
      <c r="BA17" s="37"/>
      <c r="BB17" s="42"/>
      <c r="BC17" s="37">
        <v>1500000</v>
      </c>
      <c r="BD17" s="42" t="s">
        <v>157</v>
      </c>
    </row>
    <row r="18" spans="1:56">
      <c r="A18" s="39" t="s">
        <v>186</v>
      </c>
      <c r="B18" s="39" t="s">
        <v>53</v>
      </c>
      <c r="C18" s="39" t="s">
        <v>54</v>
      </c>
      <c r="D18" s="39">
        <f t="shared" si="0"/>
        <v>1280000</v>
      </c>
      <c r="E18" s="64">
        <f t="shared" si="1"/>
        <v>1193000</v>
      </c>
      <c r="F18" s="179">
        <f t="shared" si="17"/>
        <v>0.58675607711651301</v>
      </c>
      <c r="G18" s="39">
        <v>700000</v>
      </c>
      <c r="H18" s="57">
        <f t="shared" si="2"/>
        <v>250000</v>
      </c>
      <c r="I18" s="57">
        <f t="shared" si="3"/>
        <v>189000</v>
      </c>
      <c r="J18" s="58"/>
      <c r="K18" s="56">
        <f>1.08*100000</f>
        <v>108000</v>
      </c>
      <c r="L18" s="56">
        <f>1.08*20000</f>
        <v>21600</v>
      </c>
      <c r="M18" s="56"/>
      <c r="N18" s="58">
        <f t="shared" si="4"/>
        <v>16200.000000000002</v>
      </c>
      <c r="O18" s="58">
        <f t="shared" si="5"/>
        <v>21600</v>
      </c>
      <c r="P18" s="58"/>
      <c r="Q18" s="58"/>
      <c r="R18" s="65">
        <f t="shared" si="6"/>
        <v>21600</v>
      </c>
      <c r="S18" s="65">
        <f t="shared" si="7"/>
        <v>54000</v>
      </c>
      <c r="T18" s="68"/>
      <c r="U18" s="68"/>
      <c r="V18" s="65">
        <v>21600</v>
      </c>
      <c r="W18" s="65">
        <v>10800</v>
      </c>
      <c r="X18" s="65">
        <v>10800</v>
      </c>
      <c r="Y18" s="65">
        <v>10800</v>
      </c>
      <c r="Z18" s="59">
        <f t="shared" si="8"/>
        <v>75000</v>
      </c>
      <c r="AA18" s="59">
        <v>55000</v>
      </c>
      <c r="AB18" s="59">
        <v>10000</v>
      </c>
      <c r="AC18" s="59">
        <f t="shared" si="9"/>
        <v>20000</v>
      </c>
      <c r="AD18" s="59">
        <f t="shared" si="10"/>
        <v>0</v>
      </c>
      <c r="AE18" s="59">
        <f t="shared" si="11"/>
        <v>40000</v>
      </c>
      <c r="AF18" s="59">
        <f t="shared" si="12"/>
        <v>12000</v>
      </c>
      <c r="AG18" s="59">
        <f t="shared" si="13"/>
        <v>12000</v>
      </c>
      <c r="AH18" s="59">
        <f t="shared" si="14"/>
        <v>0</v>
      </c>
      <c r="AI18" s="59"/>
      <c r="AJ18" s="59" t="s">
        <v>130</v>
      </c>
      <c r="AK18" s="66">
        <f t="shared" si="15"/>
        <v>576</v>
      </c>
      <c r="AL18" s="37">
        <v>4</v>
      </c>
      <c r="AM18" s="37">
        <v>50</v>
      </c>
      <c r="AN18" s="38">
        <v>91</v>
      </c>
      <c r="AO18" s="70">
        <f t="shared" si="18"/>
        <v>54679166.666666664</v>
      </c>
      <c r="AP18" s="39" t="s">
        <v>67</v>
      </c>
      <c r="AQ18" s="38" t="s">
        <v>109</v>
      </c>
      <c r="AR18" s="38" t="s">
        <v>83</v>
      </c>
      <c r="AS18" s="38" t="s">
        <v>83</v>
      </c>
      <c r="AT18" s="38" t="s">
        <v>83</v>
      </c>
      <c r="AU18" s="38" t="s">
        <v>111</v>
      </c>
      <c r="AV18" s="40"/>
      <c r="AW18" s="38"/>
      <c r="AX18" s="40"/>
      <c r="AY18" s="41" t="str">
        <f t="shared" si="16"/>
        <v>100-110</v>
      </c>
      <c r="AZ18" s="75"/>
      <c r="BA18" s="37"/>
      <c r="BB18" s="42"/>
      <c r="BC18" s="136"/>
      <c r="BD18" s="138"/>
    </row>
    <row r="19" spans="1:56">
      <c r="A19" s="39" t="s">
        <v>186</v>
      </c>
      <c r="B19" s="39" t="s">
        <v>53</v>
      </c>
      <c r="C19" s="39" t="s">
        <v>54</v>
      </c>
      <c r="D19" s="39">
        <f t="shared" si="0"/>
        <v>1286800</v>
      </c>
      <c r="E19" s="64">
        <f t="shared" si="1"/>
        <v>1199800</v>
      </c>
      <c r="F19" s="179">
        <f t="shared" si="17"/>
        <v>0.62510418403067181</v>
      </c>
      <c r="G19" s="39">
        <v>750000</v>
      </c>
      <c r="H19" s="57">
        <f t="shared" si="2"/>
        <v>250000</v>
      </c>
      <c r="I19" s="57">
        <f t="shared" si="3"/>
        <v>145800</v>
      </c>
      <c r="J19" s="57"/>
      <c r="K19" s="57">
        <f>20000*1.08</f>
        <v>21600</v>
      </c>
      <c r="L19" s="57">
        <f>10000*1.08</f>
        <v>10800</v>
      </c>
      <c r="M19" s="57">
        <f>50000*1.08</f>
        <v>54000</v>
      </c>
      <c r="N19" s="58">
        <f t="shared" si="4"/>
        <v>16200.000000000002</v>
      </c>
      <c r="O19" s="58">
        <f t="shared" si="5"/>
        <v>21600</v>
      </c>
      <c r="P19" s="58"/>
      <c r="Q19" s="58"/>
      <c r="R19" s="65">
        <f t="shared" si="6"/>
        <v>21600</v>
      </c>
      <c r="S19" s="65">
        <f t="shared" si="7"/>
        <v>54000</v>
      </c>
      <c r="T19" s="68"/>
      <c r="U19" s="68"/>
      <c r="V19" s="65">
        <v>21600</v>
      </c>
      <c r="W19" s="65">
        <v>10800</v>
      </c>
      <c r="X19" s="65">
        <v>10800</v>
      </c>
      <c r="Y19" s="65">
        <v>10800</v>
      </c>
      <c r="Z19" s="59">
        <f t="shared" si="8"/>
        <v>75000</v>
      </c>
      <c r="AA19" s="59">
        <v>55000</v>
      </c>
      <c r="AB19" s="59">
        <v>10000</v>
      </c>
      <c r="AC19" s="59">
        <f t="shared" si="9"/>
        <v>20000</v>
      </c>
      <c r="AD19" s="59">
        <f t="shared" si="10"/>
        <v>0</v>
      </c>
      <c r="AE19" s="59">
        <f t="shared" si="11"/>
        <v>40000</v>
      </c>
      <c r="AF19" s="59">
        <f t="shared" si="12"/>
        <v>12000</v>
      </c>
      <c r="AG19" s="59">
        <f t="shared" si="13"/>
        <v>12000</v>
      </c>
      <c r="AH19" s="59">
        <f t="shared" si="14"/>
        <v>0</v>
      </c>
      <c r="AI19" s="59"/>
      <c r="AJ19" s="59" t="s">
        <v>130</v>
      </c>
      <c r="AK19" s="66">
        <f t="shared" si="15"/>
        <v>576</v>
      </c>
      <c r="AL19" s="37">
        <v>4</v>
      </c>
      <c r="AM19" s="37">
        <v>50</v>
      </c>
      <c r="AN19" s="38">
        <v>91</v>
      </c>
      <c r="AO19" s="70">
        <f t="shared" si="18"/>
        <v>54990833.333333328</v>
      </c>
      <c r="AP19" s="39" t="s">
        <v>60</v>
      </c>
      <c r="AQ19" s="38" t="s">
        <v>109</v>
      </c>
      <c r="AR19" s="38" t="s">
        <v>83</v>
      </c>
      <c r="AS19" s="38" t="s">
        <v>83</v>
      </c>
      <c r="AT19" s="38" t="s">
        <v>83</v>
      </c>
      <c r="AU19" s="38" t="s">
        <v>111</v>
      </c>
      <c r="AV19" s="40"/>
      <c r="AW19" s="38"/>
      <c r="AX19" s="40"/>
      <c r="AY19" s="41" t="str">
        <f t="shared" si="16"/>
        <v>100-110</v>
      </c>
      <c r="AZ19" s="75"/>
      <c r="BA19" s="37"/>
      <c r="BB19" s="42"/>
      <c r="BC19" s="136"/>
      <c r="BD19" s="138"/>
    </row>
    <row r="20" spans="1:56" ht="15">
      <c r="A20" s="39" t="s">
        <v>186</v>
      </c>
      <c r="B20" s="39" t="s">
        <v>53</v>
      </c>
      <c r="C20" s="39" t="s">
        <v>54</v>
      </c>
      <c r="D20" s="39">
        <f t="shared" si="0"/>
        <v>1296200</v>
      </c>
      <c r="E20" s="64">
        <f t="shared" si="1"/>
        <v>1217200</v>
      </c>
      <c r="F20" s="179">
        <f t="shared" si="17"/>
        <v>0.49293460400920147</v>
      </c>
      <c r="G20" s="57">
        <v>600000</v>
      </c>
      <c r="H20" s="57">
        <f t="shared" si="2"/>
        <v>250000</v>
      </c>
      <c r="I20" s="57">
        <f t="shared" si="3"/>
        <v>324000</v>
      </c>
      <c r="J20" s="57"/>
      <c r="K20" s="39">
        <f>1.08*200000</f>
        <v>216000</v>
      </c>
      <c r="L20" s="39">
        <f>1.08*50000</f>
        <v>54000</v>
      </c>
      <c r="M20" s="39"/>
      <c r="N20" s="58">
        <f t="shared" si="4"/>
        <v>16200.000000000002</v>
      </c>
      <c r="O20" s="58">
        <f t="shared" si="5"/>
        <v>21600</v>
      </c>
      <c r="P20" s="58"/>
      <c r="Q20" s="58"/>
      <c r="R20" s="65">
        <f t="shared" si="6"/>
        <v>16200.000000000002</v>
      </c>
      <c r="S20" s="65">
        <f t="shared" si="7"/>
        <v>43200</v>
      </c>
      <c r="T20" s="68"/>
      <c r="U20" s="68"/>
      <c r="V20" s="65">
        <v>21600</v>
      </c>
      <c r="W20" s="65">
        <v>10800</v>
      </c>
      <c r="X20" s="65">
        <v>10800</v>
      </c>
      <c r="Y20" s="65"/>
      <c r="Z20" s="59">
        <f t="shared" si="8"/>
        <v>70000</v>
      </c>
      <c r="AA20" s="59">
        <v>55000</v>
      </c>
      <c r="AB20" s="59">
        <v>10000</v>
      </c>
      <c r="AC20" s="59">
        <f t="shared" si="9"/>
        <v>15000</v>
      </c>
      <c r="AD20" s="59">
        <f t="shared" si="10"/>
        <v>0</v>
      </c>
      <c r="AE20" s="59">
        <f t="shared" si="11"/>
        <v>30000</v>
      </c>
      <c r="AF20" s="59">
        <f t="shared" si="12"/>
        <v>9000</v>
      </c>
      <c r="AG20" s="59">
        <f t="shared" si="13"/>
        <v>9000</v>
      </c>
      <c r="AH20" s="59">
        <f t="shared" si="14"/>
        <v>0</v>
      </c>
      <c r="AI20" s="59"/>
      <c r="AJ20" s="59" t="s">
        <v>130</v>
      </c>
      <c r="AK20" s="66">
        <f t="shared" si="15"/>
        <v>576</v>
      </c>
      <c r="AL20" s="37">
        <v>3</v>
      </c>
      <c r="AM20" s="37">
        <v>50</v>
      </c>
      <c r="AN20" s="38">
        <v>81</v>
      </c>
      <c r="AO20" s="70">
        <f t="shared" si="18"/>
        <v>55788333.333333328</v>
      </c>
      <c r="AP20" s="39" t="s">
        <v>103</v>
      </c>
      <c r="AQ20" s="38" t="s">
        <v>109</v>
      </c>
      <c r="AR20" s="38" t="s">
        <v>83</v>
      </c>
      <c r="AS20" s="38" t="s">
        <v>83</v>
      </c>
      <c r="AT20" s="38" t="s">
        <v>83</v>
      </c>
      <c r="AU20" s="38" t="s">
        <v>111</v>
      </c>
      <c r="AV20" s="40"/>
      <c r="AW20" s="38"/>
      <c r="AX20" s="40"/>
      <c r="AY20" s="41" t="str">
        <f t="shared" si="16"/>
        <v>100-110</v>
      </c>
      <c r="AZ20" s="75"/>
      <c r="BA20" s="37"/>
      <c r="BB20" s="42"/>
      <c r="BC20" s="37">
        <v>1100000</v>
      </c>
      <c r="BD20" s="42" t="s">
        <v>43</v>
      </c>
    </row>
    <row r="21" spans="1:56" ht="15">
      <c r="A21" s="39" t="s">
        <v>186</v>
      </c>
      <c r="B21" s="39" t="s">
        <v>53</v>
      </c>
      <c r="C21" s="39" t="s">
        <v>54</v>
      </c>
      <c r="D21" s="39">
        <f t="shared" si="0"/>
        <v>1296200</v>
      </c>
      <c r="E21" s="64">
        <f t="shared" si="1"/>
        <v>1217200</v>
      </c>
      <c r="F21" s="179">
        <f t="shared" si="17"/>
        <v>0.49293460400920147</v>
      </c>
      <c r="G21" s="57">
        <v>600000</v>
      </c>
      <c r="H21" s="57">
        <f t="shared" si="2"/>
        <v>250000</v>
      </c>
      <c r="I21" s="57">
        <f t="shared" si="3"/>
        <v>324000</v>
      </c>
      <c r="J21" s="57"/>
      <c r="K21" s="39">
        <f>1.08*200000</f>
        <v>216000</v>
      </c>
      <c r="L21" s="39">
        <f>1.08*50000</f>
        <v>54000</v>
      </c>
      <c r="M21" s="39"/>
      <c r="N21" s="58">
        <f t="shared" si="4"/>
        <v>16200.000000000002</v>
      </c>
      <c r="O21" s="58">
        <f t="shared" si="5"/>
        <v>21600</v>
      </c>
      <c r="P21" s="58"/>
      <c r="Q21" s="58"/>
      <c r="R21" s="65">
        <f t="shared" si="6"/>
        <v>16200.000000000002</v>
      </c>
      <c r="S21" s="65">
        <f t="shared" si="7"/>
        <v>43200</v>
      </c>
      <c r="T21" s="68"/>
      <c r="U21" s="68"/>
      <c r="V21" s="65">
        <v>21600</v>
      </c>
      <c r="W21" s="65">
        <v>10800</v>
      </c>
      <c r="X21" s="65">
        <v>10800</v>
      </c>
      <c r="Y21" s="65"/>
      <c r="Z21" s="59">
        <f t="shared" si="8"/>
        <v>70000</v>
      </c>
      <c r="AA21" s="59">
        <v>55000</v>
      </c>
      <c r="AB21" s="59">
        <v>10000</v>
      </c>
      <c r="AC21" s="59">
        <f t="shared" si="9"/>
        <v>15000</v>
      </c>
      <c r="AD21" s="59">
        <f t="shared" si="10"/>
        <v>0</v>
      </c>
      <c r="AE21" s="59">
        <f t="shared" si="11"/>
        <v>30000</v>
      </c>
      <c r="AF21" s="59">
        <f t="shared" si="12"/>
        <v>9000</v>
      </c>
      <c r="AG21" s="59">
        <f t="shared" si="13"/>
        <v>9000</v>
      </c>
      <c r="AH21" s="59">
        <f t="shared" si="14"/>
        <v>0</v>
      </c>
      <c r="AI21" s="59"/>
      <c r="AJ21" s="59" t="s">
        <v>130</v>
      </c>
      <c r="AK21" s="66">
        <f t="shared" si="15"/>
        <v>576</v>
      </c>
      <c r="AL21" s="37">
        <v>3</v>
      </c>
      <c r="AM21" s="37">
        <v>50</v>
      </c>
      <c r="AN21" s="38">
        <v>81</v>
      </c>
      <c r="AO21" s="70">
        <f t="shared" si="18"/>
        <v>55788333.333333328</v>
      </c>
      <c r="AP21" s="39" t="s">
        <v>104</v>
      </c>
      <c r="AQ21" s="38" t="s">
        <v>109</v>
      </c>
      <c r="AR21" s="38" t="s">
        <v>83</v>
      </c>
      <c r="AS21" s="38" t="s">
        <v>83</v>
      </c>
      <c r="AT21" s="38" t="s">
        <v>83</v>
      </c>
      <c r="AU21" s="38" t="s">
        <v>111</v>
      </c>
      <c r="AV21" s="40"/>
      <c r="AW21" s="38"/>
      <c r="AX21" s="40"/>
      <c r="AY21" s="41" t="str">
        <f t="shared" si="16"/>
        <v>100-110</v>
      </c>
      <c r="AZ21" s="75"/>
      <c r="BA21" s="37"/>
      <c r="BB21" s="42"/>
      <c r="BC21" s="37">
        <v>1200000</v>
      </c>
      <c r="BD21" s="42" t="s">
        <v>44</v>
      </c>
    </row>
    <row r="22" spans="1:56" ht="15">
      <c r="A22" s="39" t="s">
        <v>186</v>
      </c>
      <c r="B22" s="39" t="s">
        <v>53</v>
      </c>
      <c r="C22" s="39" t="s">
        <v>54</v>
      </c>
      <c r="D22" s="39">
        <f t="shared" si="0"/>
        <v>1296200</v>
      </c>
      <c r="E22" s="64">
        <f t="shared" si="1"/>
        <v>1217200</v>
      </c>
      <c r="F22" s="179">
        <f t="shared" si="17"/>
        <v>0.49293460400920147</v>
      </c>
      <c r="G22" s="57">
        <v>600000</v>
      </c>
      <c r="H22" s="57">
        <f t="shared" si="2"/>
        <v>250000</v>
      </c>
      <c r="I22" s="57">
        <f t="shared" si="3"/>
        <v>324000</v>
      </c>
      <c r="J22" s="57"/>
      <c r="K22" s="39">
        <f>1.08*200000</f>
        <v>216000</v>
      </c>
      <c r="L22" s="39">
        <f>1.08*50000</f>
        <v>54000</v>
      </c>
      <c r="M22" s="39"/>
      <c r="N22" s="58">
        <f t="shared" si="4"/>
        <v>16200.000000000002</v>
      </c>
      <c r="O22" s="58">
        <f t="shared" si="5"/>
        <v>21600</v>
      </c>
      <c r="P22" s="58"/>
      <c r="Q22" s="58"/>
      <c r="R22" s="65">
        <f t="shared" si="6"/>
        <v>16200.000000000002</v>
      </c>
      <c r="S22" s="65">
        <f t="shared" si="7"/>
        <v>43200</v>
      </c>
      <c r="T22" s="68"/>
      <c r="U22" s="68"/>
      <c r="V22" s="65">
        <v>21600</v>
      </c>
      <c r="W22" s="65">
        <v>10800</v>
      </c>
      <c r="X22" s="65">
        <v>10800</v>
      </c>
      <c r="Y22" s="65"/>
      <c r="Z22" s="59">
        <f t="shared" si="8"/>
        <v>70000</v>
      </c>
      <c r="AA22" s="59">
        <v>55000</v>
      </c>
      <c r="AB22" s="59">
        <v>10000</v>
      </c>
      <c r="AC22" s="59">
        <f t="shared" si="9"/>
        <v>15000</v>
      </c>
      <c r="AD22" s="59">
        <f t="shared" si="10"/>
        <v>0</v>
      </c>
      <c r="AE22" s="59">
        <f t="shared" si="11"/>
        <v>30000</v>
      </c>
      <c r="AF22" s="59">
        <f t="shared" si="12"/>
        <v>9000</v>
      </c>
      <c r="AG22" s="59">
        <f t="shared" si="13"/>
        <v>9000</v>
      </c>
      <c r="AH22" s="59">
        <f t="shared" si="14"/>
        <v>0</v>
      </c>
      <c r="AI22" s="59"/>
      <c r="AJ22" s="59" t="s">
        <v>130</v>
      </c>
      <c r="AK22" s="66">
        <f t="shared" si="15"/>
        <v>576</v>
      </c>
      <c r="AL22" s="37">
        <v>3</v>
      </c>
      <c r="AM22" s="37">
        <v>50</v>
      </c>
      <c r="AN22" s="38">
        <v>81</v>
      </c>
      <c r="AO22" s="70">
        <f t="shared" si="18"/>
        <v>55788333.333333328</v>
      </c>
      <c r="AP22" s="39" t="s">
        <v>105</v>
      </c>
      <c r="AQ22" s="38" t="s">
        <v>109</v>
      </c>
      <c r="AR22" s="38" t="s">
        <v>83</v>
      </c>
      <c r="AS22" s="38" t="s">
        <v>83</v>
      </c>
      <c r="AT22" s="38" t="s">
        <v>83</v>
      </c>
      <c r="AU22" s="38" t="s">
        <v>111</v>
      </c>
      <c r="AV22" s="40"/>
      <c r="AW22" s="38"/>
      <c r="AX22" s="40"/>
      <c r="AY22" s="41" t="str">
        <f t="shared" si="16"/>
        <v>100-110</v>
      </c>
      <c r="AZ22" s="75"/>
      <c r="BA22" s="37"/>
      <c r="BB22" s="42"/>
      <c r="BC22" s="37">
        <v>1300000</v>
      </c>
      <c r="BD22" s="42" t="s">
        <v>45</v>
      </c>
    </row>
    <row r="23" spans="1:56" ht="15">
      <c r="A23" s="39" t="s">
        <v>186</v>
      </c>
      <c r="B23" s="39" t="s">
        <v>53</v>
      </c>
      <c r="C23" s="39" t="s">
        <v>54</v>
      </c>
      <c r="D23" s="39">
        <f t="shared" si="0"/>
        <v>1309800</v>
      </c>
      <c r="E23" s="64">
        <f t="shared" si="1"/>
        <v>1230800</v>
      </c>
      <c r="F23" s="179">
        <f t="shared" si="17"/>
        <v>0.5687357816054599</v>
      </c>
      <c r="G23" s="57">
        <v>700000</v>
      </c>
      <c r="H23" s="57">
        <f t="shared" si="2"/>
        <v>250000</v>
      </c>
      <c r="I23" s="57">
        <f t="shared" si="3"/>
        <v>237600</v>
      </c>
      <c r="J23" s="57"/>
      <c r="K23" s="39">
        <f>1.08*140000</f>
        <v>151200</v>
      </c>
      <c r="L23" s="39">
        <f>1.08*30000</f>
        <v>32400.000000000004</v>
      </c>
      <c r="M23" s="39"/>
      <c r="N23" s="58">
        <f t="shared" si="4"/>
        <v>16200.000000000002</v>
      </c>
      <c r="O23" s="58">
        <f t="shared" si="5"/>
        <v>21600</v>
      </c>
      <c r="P23" s="58"/>
      <c r="Q23" s="58"/>
      <c r="R23" s="65">
        <f t="shared" si="6"/>
        <v>16200.000000000002</v>
      </c>
      <c r="S23" s="65">
        <f t="shared" si="7"/>
        <v>43200</v>
      </c>
      <c r="T23" s="68"/>
      <c r="U23" s="68"/>
      <c r="V23" s="65">
        <v>21600</v>
      </c>
      <c r="W23" s="65">
        <v>10800</v>
      </c>
      <c r="X23" s="65">
        <v>10800</v>
      </c>
      <c r="Y23" s="65"/>
      <c r="Z23" s="59">
        <f t="shared" si="8"/>
        <v>70000</v>
      </c>
      <c r="AA23" s="59">
        <v>55000</v>
      </c>
      <c r="AB23" s="59">
        <v>10000</v>
      </c>
      <c r="AC23" s="59">
        <f t="shared" si="9"/>
        <v>15000</v>
      </c>
      <c r="AD23" s="59">
        <f t="shared" si="10"/>
        <v>0</v>
      </c>
      <c r="AE23" s="59">
        <f t="shared" si="11"/>
        <v>30000</v>
      </c>
      <c r="AF23" s="59">
        <f t="shared" si="12"/>
        <v>9000</v>
      </c>
      <c r="AG23" s="59">
        <f t="shared" si="13"/>
        <v>9000</v>
      </c>
      <c r="AH23" s="59">
        <f t="shared" si="14"/>
        <v>0</v>
      </c>
      <c r="AI23" s="59"/>
      <c r="AJ23" s="59" t="s">
        <v>130</v>
      </c>
      <c r="AK23" s="66">
        <f t="shared" si="15"/>
        <v>576</v>
      </c>
      <c r="AL23" s="37">
        <v>3</v>
      </c>
      <c r="AM23" s="37">
        <v>50</v>
      </c>
      <c r="AN23" s="38">
        <v>81</v>
      </c>
      <c r="AO23" s="70">
        <f t="shared" si="18"/>
        <v>56411666.666666664</v>
      </c>
      <c r="AP23" s="39" t="s">
        <v>102</v>
      </c>
      <c r="AQ23" s="38" t="s">
        <v>109</v>
      </c>
      <c r="AR23" s="38" t="s">
        <v>83</v>
      </c>
      <c r="AS23" s="38" t="s">
        <v>83</v>
      </c>
      <c r="AT23" s="38" t="s">
        <v>83</v>
      </c>
      <c r="AU23" s="38" t="s">
        <v>111</v>
      </c>
      <c r="AV23" s="40"/>
      <c r="AW23" s="38"/>
      <c r="AX23" s="40"/>
      <c r="AY23" s="41" t="str">
        <f t="shared" si="16"/>
        <v>100-110</v>
      </c>
      <c r="AZ23" s="75"/>
      <c r="BA23" s="37"/>
      <c r="BB23" s="42"/>
      <c r="BC23" s="37">
        <v>1600000</v>
      </c>
      <c r="BD23" s="42" t="s">
        <v>158</v>
      </c>
    </row>
    <row r="24" spans="1:56" ht="15">
      <c r="A24" s="39" t="s">
        <v>186</v>
      </c>
      <c r="B24" s="39" t="s">
        <v>53</v>
      </c>
      <c r="C24" s="39" t="s">
        <v>54</v>
      </c>
      <c r="D24" s="39">
        <f t="shared" si="0"/>
        <v>1312600</v>
      </c>
      <c r="E24" s="64">
        <f t="shared" si="1"/>
        <v>1233600</v>
      </c>
      <c r="F24" s="179">
        <f t="shared" si="17"/>
        <v>0.64850843060959795</v>
      </c>
      <c r="G24" s="57">
        <v>800000</v>
      </c>
      <c r="H24" s="57">
        <f t="shared" si="2"/>
        <v>250000</v>
      </c>
      <c r="I24" s="57">
        <f t="shared" si="3"/>
        <v>140400</v>
      </c>
      <c r="J24" s="58"/>
      <c r="K24" s="58">
        <f>20000*1.08</f>
        <v>21600</v>
      </c>
      <c r="L24" s="58">
        <f>10000*1.08</f>
        <v>10800</v>
      </c>
      <c r="M24" s="58">
        <f>50000*1.08</f>
        <v>54000</v>
      </c>
      <c r="N24" s="58">
        <f t="shared" si="4"/>
        <v>16200.000000000002</v>
      </c>
      <c r="O24" s="58">
        <f t="shared" si="5"/>
        <v>21600</v>
      </c>
      <c r="P24" s="58"/>
      <c r="Q24" s="58"/>
      <c r="R24" s="65">
        <f t="shared" si="6"/>
        <v>16200.000000000002</v>
      </c>
      <c r="S24" s="65">
        <f t="shared" si="7"/>
        <v>43200</v>
      </c>
      <c r="T24" s="68"/>
      <c r="U24" s="68"/>
      <c r="V24" s="65">
        <v>21600</v>
      </c>
      <c r="W24" s="65">
        <v>10800</v>
      </c>
      <c r="X24" s="65">
        <v>10800</v>
      </c>
      <c r="Y24" s="65"/>
      <c r="Z24" s="59">
        <f t="shared" si="8"/>
        <v>70000</v>
      </c>
      <c r="AA24" s="59">
        <v>55000</v>
      </c>
      <c r="AB24" s="59">
        <v>10000</v>
      </c>
      <c r="AC24" s="59">
        <f t="shared" si="9"/>
        <v>15000</v>
      </c>
      <c r="AD24" s="59">
        <f t="shared" si="10"/>
        <v>0</v>
      </c>
      <c r="AE24" s="59">
        <f t="shared" si="11"/>
        <v>30000</v>
      </c>
      <c r="AF24" s="59">
        <f t="shared" si="12"/>
        <v>9000</v>
      </c>
      <c r="AG24" s="59">
        <f t="shared" si="13"/>
        <v>9000</v>
      </c>
      <c r="AH24" s="59">
        <f t="shared" si="14"/>
        <v>0</v>
      </c>
      <c r="AI24" s="59"/>
      <c r="AJ24" s="59" t="s">
        <v>130</v>
      </c>
      <c r="AK24" s="66">
        <f t="shared" si="15"/>
        <v>576</v>
      </c>
      <c r="AL24" s="37">
        <v>3</v>
      </c>
      <c r="AM24" s="37">
        <v>50</v>
      </c>
      <c r="AN24" s="38">
        <v>81</v>
      </c>
      <c r="AO24" s="70">
        <f t="shared" si="18"/>
        <v>56540000</v>
      </c>
      <c r="AP24" s="39" t="s">
        <v>60</v>
      </c>
      <c r="AQ24" s="38" t="s">
        <v>109</v>
      </c>
      <c r="AR24" s="38" t="s">
        <v>83</v>
      </c>
      <c r="AS24" s="38" t="s">
        <v>83</v>
      </c>
      <c r="AT24" s="38" t="s">
        <v>83</v>
      </c>
      <c r="AU24" s="38" t="s">
        <v>111</v>
      </c>
      <c r="AV24" s="40"/>
      <c r="AW24" s="38"/>
      <c r="AX24" s="40"/>
      <c r="AY24" s="41" t="str">
        <f t="shared" si="16"/>
        <v>100-110</v>
      </c>
      <c r="AZ24" s="75"/>
      <c r="BA24" s="37"/>
      <c r="BB24" s="42"/>
      <c r="BC24" s="37">
        <v>2000000</v>
      </c>
      <c r="BD24" s="42" t="s">
        <v>162</v>
      </c>
    </row>
    <row r="25" spans="1:56">
      <c r="A25" s="39" t="s">
        <v>186</v>
      </c>
      <c r="B25" s="39" t="s">
        <v>53</v>
      </c>
      <c r="C25" s="39" t="s">
        <v>54</v>
      </c>
      <c r="D25" s="39">
        <f t="shared" si="0"/>
        <v>1330000</v>
      </c>
      <c r="E25" s="64">
        <f t="shared" si="1"/>
        <v>1243000</v>
      </c>
      <c r="F25" s="179">
        <f t="shared" si="17"/>
        <v>0.60337892196299281</v>
      </c>
      <c r="G25" s="39">
        <v>750000</v>
      </c>
      <c r="H25" s="57">
        <f t="shared" si="2"/>
        <v>250000</v>
      </c>
      <c r="I25" s="57">
        <f t="shared" si="3"/>
        <v>189000</v>
      </c>
      <c r="J25" s="57"/>
      <c r="K25" s="39">
        <f>1.08*100000</f>
        <v>108000</v>
      </c>
      <c r="L25" s="39">
        <f>1.08*20000</f>
        <v>21600</v>
      </c>
      <c r="M25" s="39"/>
      <c r="N25" s="58">
        <f t="shared" si="4"/>
        <v>16200.000000000002</v>
      </c>
      <c r="O25" s="58">
        <f t="shared" si="5"/>
        <v>21600</v>
      </c>
      <c r="P25" s="58"/>
      <c r="Q25" s="58"/>
      <c r="R25" s="65">
        <f t="shared" si="6"/>
        <v>21600</v>
      </c>
      <c r="S25" s="65">
        <f t="shared" si="7"/>
        <v>54000</v>
      </c>
      <c r="T25" s="68"/>
      <c r="U25" s="68"/>
      <c r="V25" s="65">
        <v>21600</v>
      </c>
      <c r="W25" s="65">
        <v>10800</v>
      </c>
      <c r="X25" s="65">
        <v>10800</v>
      </c>
      <c r="Y25" s="65">
        <v>10800</v>
      </c>
      <c r="Z25" s="59">
        <f t="shared" si="8"/>
        <v>75000</v>
      </c>
      <c r="AA25" s="59">
        <v>55000</v>
      </c>
      <c r="AB25" s="59">
        <v>10000</v>
      </c>
      <c r="AC25" s="59">
        <f t="shared" si="9"/>
        <v>20000</v>
      </c>
      <c r="AD25" s="59">
        <f t="shared" si="10"/>
        <v>0</v>
      </c>
      <c r="AE25" s="59">
        <f t="shared" si="11"/>
        <v>40000</v>
      </c>
      <c r="AF25" s="59">
        <f t="shared" si="12"/>
        <v>12000</v>
      </c>
      <c r="AG25" s="59">
        <f t="shared" si="13"/>
        <v>12000</v>
      </c>
      <c r="AH25" s="59">
        <f t="shared" si="14"/>
        <v>0</v>
      </c>
      <c r="AI25" s="59"/>
      <c r="AJ25" s="59" t="s">
        <v>130</v>
      </c>
      <c r="AK25" s="66">
        <f t="shared" si="15"/>
        <v>576</v>
      </c>
      <c r="AL25" s="37">
        <v>4</v>
      </c>
      <c r="AM25" s="37">
        <v>50</v>
      </c>
      <c r="AN25" s="38">
        <v>91</v>
      </c>
      <c r="AO25" s="70">
        <f t="shared" si="18"/>
        <v>56970833.333333328</v>
      </c>
      <c r="AP25" s="39" t="s">
        <v>67</v>
      </c>
      <c r="AQ25" s="38" t="s">
        <v>109</v>
      </c>
      <c r="AR25" s="38" t="s">
        <v>83</v>
      </c>
      <c r="AS25" s="38" t="s">
        <v>83</v>
      </c>
      <c r="AT25" s="38" t="s">
        <v>83</v>
      </c>
      <c r="AU25" s="38" t="s">
        <v>111</v>
      </c>
      <c r="AV25" s="40"/>
      <c r="AW25" s="38"/>
      <c r="AX25" s="40"/>
      <c r="AY25" s="41" t="str">
        <f t="shared" si="16"/>
        <v>100-110</v>
      </c>
      <c r="AZ25" s="75"/>
      <c r="BA25" s="37"/>
      <c r="BB25" s="42"/>
      <c r="BC25" s="136"/>
      <c r="BD25" s="138"/>
    </row>
    <row r="26" spans="1:56">
      <c r="A26" s="39" t="s">
        <v>186</v>
      </c>
      <c r="B26" s="39" t="s">
        <v>53</v>
      </c>
      <c r="C26" s="39" t="s">
        <v>54</v>
      </c>
      <c r="D26" s="39">
        <f t="shared" si="0"/>
        <v>1334000</v>
      </c>
      <c r="E26" s="64">
        <f t="shared" si="1"/>
        <v>1247000</v>
      </c>
      <c r="F26" s="179">
        <f t="shared" si="17"/>
        <v>0.5613472333600642</v>
      </c>
      <c r="G26" s="39">
        <v>700000</v>
      </c>
      <c r="H26" s="57">
        <f t="shared" si="2"/>
        <v>250000</v>
      </c>
      <c r="I26" s="57">
        <f t="shared" si="3"/>
        <v>243000</v>
      </c>
      <c r="J26" s="57"/>
      <c r="K26" s="39">
        <f>1.08*140000</f>
        <v>151200</v>
      </c>
      <c r="L26" s="39">
        <f>1.08*30000</f>
        <v>32400.000000000004</v>
      </c>
      <c r="M26" s="39"/>
      <c r="N26" s="58">
        <f t="shared" si="4"/>
        <v>16200.000000000002</v>
      </c>
      <c r="O26" s="58">
        <f t="shared" si="5"/>
        <v>21600</v>
      </c>
      <c r="P26" s="58"/>
      <c r="Q26" s="58"/>
      <c r="R26" s="65">
        <f t="shared" si="6"/>
        <v>21600</v>
      </c>
      <c r="S26" s="65">
        <f t="shared" si="7"/>
        <v>54000</v>
      </c>
      <c r="T26" s="68"/>
      <c r="U26" s="68"/>
      <c r="V26" s="65">
        <v>21600</v>
      </c>
      <c r="W26" s="65">
        <v>10800</v>
      </c>
      <c r="X26" s="65">
        <v>10800</v>
      </c>
      <c r="Y26" s="65">
        <v>10800</v>
      </c>
      <c r="Z26" s="59">
        <f t="shared" si="8"/>
        <v>75000</v>
      </c>
      <c r="AA26" s="59">
        <v>55000</v>
      </c>
      <c r="AB26" s="59">
        <v>10000</v>
      </c>
      <c r="AC26" s="59">
        <f t="shared" si="9"/>
        <v>20000</v>
      </c>
      <c r="AD26" s="59">
        <f t="shared" si="10"/>
        <v>0</v>
      </c>
      <c r="AE26" s="59">
        <f t="shared" si="11"/>
        <v>40000</v>
      </c>
      <c r="AF26" s="59">
        <f t="shared" si="12"/>
        <v>12000</v>
      </c>
      <c r="AG26" s="59">
        <f t="shared" si="13"/>
        <v>12000</v>
      </c>
      <c r="AH26" s="59">
        <f t="shared" si="14"/>
        <v>0</v>
      </c>
      <c r="AI26" s="59"/>
      <c r="AJ26" s="59" t="s">
        <v>130</v>
      </c>
      <c r="AK26" s="66">
        <f t="shared" si="15"/>
        <v>576</v>
      </c>
      <c r="AL26" s="37">
        <v>4</v>
      </c>
      <c r="AM26" s="37">
        <v>50</v>
      </c>
      <c r="AN26" s="38">
        <v>91</v>
      </c>
      <c r="AO26" s="70">
        <f t="shared" si="18"/>
        <v>57154166.666666664</v>
      </c>
      <c r="AP26" s="39" t="s">
        <v>102</v>
      </c>
      <c r="AQ26" s="38" t="s">
        <v>109</v>
      </c>
      <c r="AR26" s="38" t="s">
        <v>83</v>
      </c>
      <c r="AS26" s="38" t="s">
        <v>83</v>
      </c>
      <c r="AT26" s="38" t="s">
        <v>83</v>
      </c>
      <c r="AU26" s="38" t="s">
        <v>111</v>
      </c>
      <c r="AV26" s="40"/>
      <c r="AW26" s="38"/>
      <c r="AX26" s="40"/>
      <c r="AY26" s="41" t="str">
        <f t="shared" si="16"/>
        <v>100-110</v>
      </c>
      <c r="AZ26" s="75"/>
      <c r="BA26" s="37"/>
      <c r="BB26" s="42"/>
      <c r="BC26" s="136"/>
      <c r="BD26" s="138"/>
    </row>
    <row r="27" spans="1:56">
      <c r="A27" s="39" t="s">
        <v>186</v>
      </c>
      <c r="B27" s="39" t="s">
        <v>53</v>
      </c>
      <c r="C27" s="39" t="s">
        <v>54</v>
      </c>
      <c r="D27" s="39">
        <f t="shared" si="0"/>
        <v>1336800</v>
      </c>
      <c r="E27" s="64">
        <f t="shared" si="1"/>
        <v>1249800</v>
      </c>
      <c r="F27" s="179">
        <f t="shared" si="17"/>
        <v>0.64010241638662191</v>
      </c>
      <c r="G27" s="39">
        <v>800000</v>
      </c>
      <c r="H27" s="57">
        <f t="shared" si="2"/>
        <v>250000</v>
      </c>
      <c r="I27" s="57">
        <f t="shared" si="3"/>
        <v>145800</v>
      </c>
      <c r="J27" s="57"/>
      <c r="K27" s="57">
        <f>20000*1.08</f>
        <v>21600</v>
      </c>
      <c r="L27" s="57">
        <f>10000*1.08</f>
        <v>10800</v>
      </c>
      <c r="M27" s="57">
        <f>50000*1.08</f>
        <v>54000</v>
      </c>
      <c r="N27" s="58">
        <f t="shared" si="4"/>
        <v>16200.000000000002</v>
      </c>
      <c r="O27" s="58">
        <f t="shared" si="5"/>
        <v>21600</v>
      </c>
      <c r="P27" s="58"/>
      <c r="Q27" s="58"/>
      <c r="R27" s="65">
        <f t="shared" si="6"/>
        <v>21600</v>
      </c>
      <c r="S27" s="65">
        <f t="shared" si="7"/>
        <v>54000</v>
      </c>
      <c r="T27" s="68"/>
      <c r="U27" s="68"/>
      <c r="V27" s="65">
        <v>21600</v>
      </c>
      <c r="W27" s="65">
        <v>10800</v>
      </c>
      <c r="X27" s="65">
        <v>10800</v>
      </c>
      <c r="Y27" s="65">
        <v>10800</v>
      </c>
      <c r="Z27" s="59">
        <f t="shared" si="8"/>
        <v>75000</v>
      </c>
      <c r="AA27" s="59">
        <v>55000</v>
      </c>
      <c r="AB27" s="59">
        <v>10000</v>
      </c>
      <c r="AC27" s="59">
        <f t="shared" si="9"/>
        <v>20000</v>
      </c>
      <c r="AD27" s="59">
        <f t="shared" si="10"/>
        <v>0</v>
      </c>
      <c r="AE27" s="59">
        <f t="shared" si="11"/>
        <v>40000</v>
      </c>
      <c r="AF27" s="59">
        <f t="shared" si="12"/>
        <v>12000</v>
      </c>
      <c r="AG27" s="59">
        <f t="shared" si="13"/>
        <v>12000</v>
      </c>
      <c r="AH27" s="59">
        <f t="shared" si="14"/>
        <v>0</v>
      </c>
      <c r="AI27" s="59"/>
      <c r="AJ27" s="59" t="s">
        <v>130</v>
      </c>
      <c r="AK27" s="66">
        <f t="shared" si="15"/>
        <v>576</v>
      </c>
      <c r="AL27" s="37">
        <v>4</v>
      </c>
      <c r="AM27" s="37">
        <v>50</v>
      </c>
      <c r="AN27" s="38">
        <v>91</v>
      </c>
      <c r="AO27" s="70">
        <f t="shared" si="18"/>
        <v>57282500</v>
      </c>
      <c r="AP27" s="39" t="s">
        <v>60</v>
      </c>
      <c r="AQ27" s="38" t="s">
        <v>109</v>
      </c>
      <c r="AR27" s="38" t="s">
        <v>83</v>
      </c>
      <c r="AS27" s="38" t="s">
        <v>83</v>
      </c>
      <c r="AT27" s="38" t="s">
        <v>83</v>
      </c>
      <c r="AU27" s="38" t="s">
        <v>111</v>
      </c>
      <c r="AV27" s="40"/>
      <c r="AW27" s="38"/>
      <c r="AX27" s="40"/>
      <c r="AY27" s="41" t="str">
        <f t="shared" si="16"/>
        <v>100-110</v>
      </c>
      <c r="AZ27" s="75"/>
      <c r="BA27" s="37"/>
      <c r="BB27" s="42"/>
      <c r="BC27" s="136"/>
      <c r="BD27" s="138"/>
    </row>
    <row r="28" spans="1:56" ht="15">
      <c r="A28" s="39" t="s">
        <v>186</v>
      </c>
      <c r="B28" s="39" t="s">
        <v>53</v>
      </c>
      <c r="C28" s="39" t="s">
        <v>54</v>
      </c>
      <c r="D28" s="39">
        <f t="shared" si="0"/>
        <v>1355800</v>
      </c>
      <c r="E28" s="64">
        <f t="shared" si="1"/>
        <v>1276800</v>
      </c>
      <c r="F28" s="179">
        <f t="shared" si="17"/>
        <v>0.62656641604010022</v>
      </c>
      <c r="G28" s="57">
        <v>800000</v>
      </c>
      <c r="H28" s="57">
        <f t="shared" si="2"/>
        <v>250000</v>
      </c>
      <c r="I28" s="57">
        <f t="shared" si="3"/>
        <v>183600</v>
      </c>
      <c r="J28" s="57"/>
      <c r="K28" s="39">
        <f>1.08*100000</f>
        <v>108000</v>
      </c>
      <c r="L28" s="39">
        <f>1.08*20000</f>
        <v>21600</v>
      </c>
      <c r="M28" s="39"/>
      <c r="N28" s="58">
        <f t="shared" si="4"/>
        <v>16200.000000000002</v>
      </c>
      <c r="O28" s="58">
        <f t="shared" si="5"/>
        <v>21600</v>
      </c>
      <c r="P28" s="58"/>
      <c r="Q28" s="58"/>
      <c r="R28" s="65">
        <f t="shared" si="6"/>
        <v>16200.000000000002</v>
      </c>
      <c r="S28" s="65">
        <f t="shared" si="7"/>
        <v>43200</v>
      </c>
      <c r="T28" s="68"/>
      <c r="U28" s="68"/>
      <c r="V28" s="65">
        <v>21600</v>
      </c>
      <c r="W28" s="65">
        <v>10800</v>
      </c>
      <c r="X28" s="65">
        <v>10800</v>
      </c>
      <c r="Y28" s="65"/>
      <c r="Z28" s="59">
        <f t="shared" si="8"/>
        <v>70000</v>
      </c>
      <c r="AA28" s="59">
        <v>55000</v>
      </c>
      <c r="AB28" s="59">
        <v>10000</v>
      </c>
      <c r="AC28" s="59">
        <f t="shared" si="9"/>
        <v>15000</v>
      </c>
      <c r="AD28" s="59">
        <f t="shared" si="10"/>
        <v>0</v>
      </c>
      <c r="AE28" s="59">
        <f t="shared" si="11"/>
        <v>30000</v>
      </c>
      <c r="AF28" s="59">
        <f t="shared" si="12"/>
        <v>9000</v>
      </c>
      <c r="AG28" s="59">
        <f t="shared" si="13"/>
        <v>9000</v>
      </c>
      <c r="AH28" s="59">
        <f t="shared" si="14"/>
        <v>0</v>
      </c>
      <c r="AI28" s="59"/>
      <c r="AJ28" s="59" t="s">
        <v>130</v>
      </c>
      <c r="AK28" s="66">
        <f t="shared" si="15"/>
        <v>576</v>
      </c>
      <c r="AL28" s="37">
        <v>3</v>
      </c>
      <c r="AM28" s="37">
        <v>50</v>
      </c>
      <c r="AN28" s="38">
        <v>81</v>
      </c>
      <c r="AO28" s="70">
        <f t="shared" si="18"/>
        <v>58520000</v>
      </c>
      <c r="AP28" s="39" t="s">
        <v>67</v>
      </c>
      <c r="AQ28" s="38" t="s">
        <v>109</v>
      </c>
      <c r="AR28" s="38" t="s">
        <v>83</v>
      </c>
      <c r="AS28" s="38" t="s">
        <v>83</v>
      </c>
      <c r="AT28" s="38" t="s">
        <v>83</v>
      </c>
      <c r="AU28" s="38" t="s">
        <v>111</v>
      </c>
      <c r="AV28" s="40"/>
      <c r="AW28" s="38"/>
      <c r="AX28" s="40"/>
      <c r="AY28" s="41" t="str">
        <f t="shared" si="16"/>
        <v>100-110</v>
      </c>
      <c r="AZ28" s="75"/>
      <c r="BA28" s="37"/>
      <c r="BB28" s="42"/>
      <c r="BC28" s="37">
        <v>2100000</v>
      </c>
      <c r="BD28" s="42" t="s">
        <v>163</v>
      </c>
    </row>
    <row r="29" spans="1:56">
      <c r="A29" s="39" t="s">
        <v>186</v>
      </c>
      <c r="B29" s="39" t="s">
        <v>53</v>
      </c>
      <c r="C29" s="39" t="s">
        <v>54</v>
      </c>
      <c r="D29" s="39">
        <f t="shared" si="0"/>
        <v>1380000</v>
      </c>
      <c r="E29" s="64">
        <f t="shared" si="1"/>
        <v>1293000</v>
      </c>
      <c r="F29" s="179">
        <f t="shared" si="17"/>
        <v>0.61871616395978346</v>
      </c>
      <c r="G29" s="39">
        <v>800000</v>
      </c>
      <c r="H29" s="57">
        <f t="shared" si="2"/>
        <v>250000</v>
      </c>
      <c r="I29" s="57">
        <f t="shared" si="3"/>
        <v>189000</v>
      </c>
      <c r="J29" s="57"/>
      <c r="K29" s="39">
        <f>1.08*100000</f>
        <v>108000</v>
      </c>
      <c r="L29" s="39">
        <f>1.08*20000</f>
        <v>21600</v>
      </c>
      <c r="M29" s="39"/>
      <c r="N29" s="58">
        <f t="shared" si="4"/>
        <v>16200.000000000002</v>
      </c>
      <c r="O29" s="58">
        <f t="shared" si="5"/>
        <v>21600</v>
      </c>
      <c r="P29" s="58"/>
      <c r="Q29" s="58"/>
      <c r="R29" s="65">
        <f t="shared" si="6"/>
        <v>21600</v>
      </c>
      <c r="S29" s="65">
        <f t="shared" si="7"/>
        <v>54000</v>
      </c>
      <c r="T29" s="68"/>
      <c r="U29" s="68"/>
      <c r="V29" s="65">
        <v>21600</v>
      </c>
      <c r="W29" s="65">
        <v>10800</v>
      </c>
      <c r="X29" s="65">
        <v>10800</v>
      </c>
      <c r="Y29" s="65">
        <v>10800</v>
      </c>
      <c r="Z29" s="59">
        <f t="shared" si="8"/>
        <v>75000</v>
      </c>
      <c r="AA29" s="59">
        <v>55000</v>
      </c>
      <c r="AB29" s="59">
        <v>10000</v>
      </c>
      <c r="AC29" s="59">
        <f t="shared" si="9"/>
        <v>20000</v>
      </c>
      <c r="AD29" s="59">
        <f t="shared" si="10"/>
        <v>0</v>
      </c>
      <c r="AE29" s="59">
        <f t="shared" si="11"/>
        <v>40000</v>
      </c>
      <c r="AF29" s="59">
        <f t="shared" si="12"/>
        <v>12000</v>
      </c>
      <c r="AG29" s="59">
        <f t="shared" si="13"/>
        <v>12000</v>
      </c>
      <c r="AH29" s="59">
        <f t="shared" si="14"/>
        <v>0</v>
      </c>
      <c r="AI29" s="59"/>
      <c r="AJ29" s="59" t="s">
        <v>130</v>
      </c>
      <c r="AK29" s="66">
        <f t="shared" si="15"/>
        <v>576</v>
      </c>
      <c r="AL29" s="37">
        <v>4</v>
      </c>
      <c r="AM29" s="37">
        <v>50</v>
      </c>
      <c r="AN29" s="38">
        <v>91</v>
      </c>
      <c r="AO29" s="70">
        <f t="shared" si="18"/>
        <v>59262500</v>
      </c>
      <c r="AP29" s="39" t="s">
        <v>67</v>
      </c>
      <c r="AQ29" s="38" t="s">
        <v>109</v>
      </c>
      <c r="AR29" s="38" t="s">
        <v>83</v>
      </c>
      <c r="AS29" s="38" t="s">
        <v>83</v>
      </c>
      <c r="AT29" s="38" t="s">
        <v>83</v>
      </c>
      <c r="AU29" s="38" t="s">
        <v>111</v>
      </c>
      <c r="AV29" s="40"/>
      <c r="AW29" s="38"/>
      <c r="AX29" s="40"/>
      <c r="AY29" s="41" t="str">
        <f t="shared" si="16"/>
        <v>100-110</v>
      </c>
      <c r="AZ29" s="75"/>
      <c r="BA29" s="37"/>
      <c r="BB29" s="42"/>
      <c r="BC29" s="136"/>
      <c r="BD29" s="138"/>
    </row>
    <row r="30" spans="1:56">
      <c r="A30" s="39" t="s">
        <v>186</v>
      </c>
      <c r="B30" s="39" t="s">
        <v>53</v>
      </c>
      <c r="C30" s="39" t="s">
        <v>54</v>
      </c>
      <c r="D30" s="39">
        <f t="shared" si="0"/>
        <v>1384000</v>
      </c>
      <c r="E30" s="64">
        <f t="shared" si="1"/>
        <v>1297000</v>
      </c>
      <c r="F30" s="179">
        <f t="shared" si="17"/>
        <v>0.57825751734772557</v>
      </c>
      <c r="G30" s="39">
        <v>750000</v>
      </c>
      <c r="H30" s="57">
        <f t="shared" si="2"/>
        <v>250000</v>
      </c>
      <c r="I30" s="57">
        <f t="shared" si="3"/>
        <v>243000</v>
      </c>
      <c r="J30" s="58"/>
      <c r="K30" s="56">
        <f>1.08*140000</f>
        <v>151200</v>
      </c>
      <c r="L30" s="56">
        <f>1.08*30000</f>
        <v>32400.000000000004</v>
      </c>
      <c r="M30" s="56"/>
      <c r="N30" s="58">
        <f t="shared" si="4"/>
        <v>16200.000000000002</v>
      </c>
      <c r="O30" s="58">
        <f t="shared" si="5"/>
        <v>21600</v>
      </c>
      <c r="P30" s="58"/>
      <c r="Q30" s="58"/>
      <c r="R30" s="65">
        <f t="shared" si="6"/>
        <v>21600</v>
      </c>
      <c r="S30" s="65">
        <f t="shared" si="7"/>
        <v>54000</v>
      </c>
      <c r="T30" s="68"/>
      <c r="U30" s="68"/>
      <c r="V30" s="65">
        <v>21600</v>
      </c>
      <c r="W30" s="65">
        <v>10800</v>
      </c>
      <c r="X30" s="65">
        <v>10800</v>
      </c>
      <c r="Y30" s="65">
        <v>10800</v>
      </c>
      <c r="Z30" s="59">
        <f t="shared" si="8"/>
        <v>75000</v>
      </c>
      <c r="AA30" s="59">
        <v>55000</v>
      </c>
      <c r="AB30" s="59">
        <v>10000</v>
      </c>
      <c r="AC30" s="59">
        <f t="shared" si="9"/>
        <v>20000</v>
      </c>
      <c r="AD30" s="59">
        <f t="shared" si="10"/>
        <v>0</v>
      </c>
      <c r="AE30" s="59">
        <f t="shared" si="11"/>
        <v>40000</v>
      </c>
      <c r="AF30" s="59">
        <f t="shared" si="12"/>
        <v>12000</v>
      </c>
      <c r="AG30" s="59">
        <f t="shared" si="13"/>
        <v>12000</v>
      </c>
      <c r="AH30" s="59">
        <f t="shared" si="14"/>
        <v>0</v>
      </c>
      <c r="AI30" s="59"/>
      <c r="AJ30" s="59" t="s">
        <v>130</v>
      </c>
      <c r="AK30" s="66">
        <f t="shared" si="15"/>
        <v>576</v>
      </c>
      <c r="AL30" s="37">
        <v>4</v>
      </c>
      <c r="AM30" s="37">
        <v>50</v>
      </c>
      <c r="AN30" s="38">
        <v>91</v>
      </c>
      <c r="AO30" s="70">
        <f t="shared" si="18"/>
        <v>59445833.333333328</v>
      </c>
      <c r="AP30" s="56" t="s">
        <v>102</v>
      </c>
      <c r="AQ30" s="38" t="s">
        <v>109</v>
      </c>
      <c r="AR30" s="38" t="s">
        <v>83</v>
      </c>
      <c r="AS30" s="38" t="s">
        <v>83</v>
      </c>
      <c r="AT30" s="38" t="s">
        <v>83</v>
      </c>
      <c r="AU30" s="38" t="s">
        <v>111</v>
      </c>
      <c r="AV30" s="40"/>
      <c r="AW30" s="38"/>
      <c r="AX30" s="40"/>
      <c r="AY30" s="41" t="str">
        <f t="shared" si="16"/>
        <v>100-110</v>
      </c>
      <c r="AZ30" s="75"/>
      <c r="BA30" s="37"/>
      <c r="BB30" s="42"/>
      <c r="BC30" s="144"/>
      <c r="BD30" s="145"/>
    </row>
    <row r="31" spans="1:56">
      <c r="A31" s="39" t="s">
        <v>186</v>
      </c>
      <c r="B31" s="39" t="s">
        <v>53</v>
      </c>
      <c r="C31" s="39" t="s">
        <v>54</v>
      </c>
      <c r="D31" s="39">
        <f t="shared" si="0"/>
        <v>1386800</v>
      </c>
      <c r="E31" s="64">
        <f t="shared" si="1"/>
        <v>1299800</v>
      </c>
      <c r="F31" s="179">
        <f t="shared" si="17"/>
        <v>0.65394676104016003</v>
      </c>
      <c r="G31" s="39">
        <v>850000</v>
      </c>
      <c r="H31" s="57">
        <f t="shared" si="2"/>
        <v>250000</v>
      </c>
      <c r="I31" s="57">
        <f t="shared" si="3"/>
        <v>145800</v>
      </c>
      <c r="J31" s="57"/>
      <c r="K31" s="57">
        <f>20000*1.08</f>
        <v>21600</v>
      </c>
      <c r="L31" s="57">
        <f>10000*1.08</f>
        <v>10800</v>
      </c>
      <c r="M31" s="57">
        <f>50000*1.08</f>
        <v>54000</v>
      </c>
      <c r="N31" s="58">
        <f t="shared" si="4"/>
        <v>16200.000000000002</v>
      </c>
      <c r="O31" s="58">
        <f t="shared" si="5"/>
        <v>21600</v>
      </c>
      <c r="P31" s="58"/>
      <c r="Q31" s="58"/>
      <c r="R31" s="65">
        <f t="shared" si="6"/>
        <v>21600</v>
      </c>
      <c r="S31" s="65">
        <f t="shared" si="7"/>
        <v>54000</v>
      </c>
      <c r="T31" s="68"/>
      <c r="U31" s="68"/>
      <c r="V31" s="65">
        <v>21600</v>
      </c>
      <c r="W31" s="65">
        <v>10800</v>
      </c>
      <c r="X31" s="65">
        <v>10800</v>
      </c>
      <c r="Y31" s="65">
        <v>10800</v>
      </c>
      <c r="Z31" s="59">
        <f t="shared" si="8"/>
        <v>75000</v>
      </c>
      <c r="AA31" s="59">
        <v>55000</v>
      </c>
      <c r="AB31" s="59">
        <v>10000</v>
      </c>
      <c r="AC31" s="59">
        <f t="shared" si="9"/>
        <v>20000</v>
      </c>
      <c r="AD31" s="59">
        <f t="shared" si="10"/>
        <v>0</v>
      </c>
      <c r="AE31" s="59">
        <f t="shared" si="11"/>
        <v>40000</v>
      </c>
      <c r="AF31" s="59">
        <f t="shared" si="12"/>
        <v>12000</v>
      </c>
      <c r="AG31" s="59">
        <f t="shared" si="13"/>
        <v>12000</v>
      </c>
      <c r="AH31" s="59">
        <f t="shared" si="14"/>
        <v>0</v>
      </c>
      <c r="AI31" s="59"/>
      <c r="AJ31" s="59" t="s">
        <v>130</v>
      </c>
      <c r="AK31" s="66">
        <f t="shared" si="15"/>
        <v>576</v>
      </c>
      <c r="AL31" s="37">
        <v>4</v>
      </c>
      <c r="AM31" s="37">
        <v>50</v>
      </c>
      <c r="AN31" s="38">
        <v>91</v>
      </c>
      <c r="AO31" s="70">
        <f t="shared" si="18"/>
        <v>59574166.666666664</v>
      </c>
      <c r="AP31" s="39" t="s">
        <v>60</v>
      </c>
      <c r="AQ31" s="38" t="s">
        <v>109</v>
      </c>
      <c r="AR31" s="38" t="s">
        <v>83</v>
      </c>
      <c r="AS31" s="38" t="s">
        <v>83</v>
      </c>
      <c r="AT31" s="38" t="s">
        <v>83</v>
      </c>
      <c r="AU31" s="38" t="s">
        <v>111</v>
      </c>
      <c r="AV31" s="40"/>
      <c r="AW31" s="38"/>
      <c r="AX31" s="40"/>
      <c r="AY31" s="41" t="str">
        <f t="shared" si="16"/>
        <v>100-110</v>
      </c>
      <c r="AZ31" s="75"/>
      <c r="BA31" s="37"/>
      <c r="BB31" s="42"/>
      <c r="BC31" s="144"/>
      <c r="BD31" s="145"/>
    </row>
    <row r="32" spans="1:56" ht="15">
      <c r="A32" s="39" t="s">
        <v>186</v>
      </c>
      <c r="B32" s="39" t="s">
        <v>53</v>
      </c>
      <c r="C32" s="39" t="s">
        <v>54</v>
      </c>
      <c r="D32" s="39">
        <f t="shared" si="0"/>
        <v>1396200</v>
      </c>
      <c r="E32" s="64">
        <f t="shared" si="1"/>
        <v>1317200</v>
      </c>
      <c r="F32" s="179">
        <f t="shared" si="17"/>
        <v>0.53143030671120561</v>
      </c>
      <c r="G32" s="57">
        <v>700000</v>
      </c>
      <c r="H32" s="57">
        <f t="shared" si="2"/>
        <v>250000</v>
      </c>
      <c r="I32" s="57">
        <f t="shared" si="3"/>
        <v>324000</v>
      </c>
      <c r="J32" s="57"/>
      <c r="K32" s="39">
        <f t="shared" ref="K32:K40" si="19">1.08*200000</f>
        <v>216000</v>
      </c>
      <c r="L32" s="39">
        <f t="shared" ref="L32:L40" si="20">1.08*50000</f>
        <v>54000</v>
      </c>
      <c r="M32" s="39"/>
      <c r="N32" s="58">
        <f t="shared" si="4"/>
        <v>16200.000000000002</v>
      </c>
      <c r="O32" s="58">
        <f t="shared" si="5"/>
        <v>21600</v>
      </c>
      <c r="P32" s="58"/>
      <c r="Q32" s="58"/>
      <c r="R32" s="65">
        <f t="shared" si="6"/>
        <v>16200.000000000002</v>
      </c>
      <c r="S32" s="65">
        <f t="shared" si="7"/>
        <v>43200</v>
      </c>
      <c r="T32" s="68"/>
      <c r="U32" s="68"/>
      <c r="V32" s="65">
        <v>21600</v>
      </c>
      <c r="W32" s="65">
        <v>10800</v>
      </c>
      <c r="X32" s="65">
        <v>10800</v>
      </c>
      <c r="Y32" s="65"/>
      <c r="Z32" s="59">
        <f t="shared" si="8"/>
        <v>70000</v>
      </c>
      <c r="AA32" s="59">
        <v>55000</v>
      </c>
      <c r="AB32" s="59">
        <v>10000</v>
      </c>
      <c r="AC32" s="59">
        <f t="shared" si="9"/>
        <v>15000</v>
      </c>
      <c r="AD32" s="59">
        <f t="shared" si="10"/>
        <v>0</v>
      </c>
      <c r="AE32" s="59">
        <f t="shared" si="11"/>
        <v>30000</v>
      </c>
      <c r="AF32" s="59">
        <f t="shared" si="12"/>
        <v>9000</v>
      </c>
      <c r="AG32" s="59">
        <f t="shared" si="13"/>
        <v>9000</v>
      </c>
      <c r="AH32" s="59">
        <f t="shared" si="14"/>
        <v>0</v>
      </c>
      <c r="AI32" s="59"/>
      <c r="AJ32" s="59" t="s">
        <v>130</v>
      </c>
      <c r="AK32" s="66">
        <f t="shared" si="15"/>
        <v>576</v>
      </c>
      <c r="AL32" s="37">
        <v>3</v>
      </c>
      <c r="AM32" s="37">
        <v>50</v>
      </c>
      <c r="AN32" s="38">
        <v>81</v>
      </c>
      <c r="AO32" s="70">
        <f t="shared" si="18"/>
        <v>60371666.666666664</v>
      </c>
      <c r="AP32" s="39" t="s">
        <v>103</v>
      </c>
      <c r="AQ32" s="38" t="s">
        <v>109</v>
      </c>
      <c r="AR32" s="38" t="s">
        <v>83</v>
      </c>
      <c r="AS32" s="38" t="s">
        <v>83</v>
      </c>
      <c r="AT32" s="38" t="s">
        <v>83</v>
      </c>
      <c r="AU32" s="38" t="s">
        <v>111</v>
      </c>
      <c r="AV32" s="40"/>
      <c r="AW32" s="38"/>
      <c r="AX32" s="40"/>
      <c r="AY32" s="41" t="str">
        <f t="shared" si="16"/>
        <v>100-110</v>
      </c>
      <c r="AZ32" s="75"/>
      <c r="BA32" s="37"/>
      <c r="BB32" s="42"/>
      <c r="BC32" s="137">
        <v>1700000</v>
      </c>
      <c r="BD32" s="139" t="s">
        <v>159</v>
      </c>
    </row>
    <row r="33" spans="1:62" ht="15">
      <c r="A33" s="39" t="s">
        <v>186</v>
      </c>
      <c r="B33" s="39" t="s">
        <v>53</v>
      </c>
      <c r="C33" s="39" t="s">
        <v>54</v>
      </c>
      <c r="D33" s="39">
        <f t="shared" si="0"/>
        <v>1396200</v>
      </c>
      <c r="E33" s="64">
        <f t="shared" si="1"/>
        <v>1317200</v>
      </c>
      <c r="F33" s="179">
        <f t="shared" si="17"/>
        <v>0.53143030671120561</v>
      </c>
      <c r="G33" s="57">
        <v>700000</v>
      </c>
      <c r="H33" s="57">
        <f t="shared" si="2"/>
        <v>250000</v>
      </c>
      <c r="I33" s="57">
        <f t="shared" si="3"/>
        <v>324000</v>
      </c>
      <c r="J33" s="57"/>
      <c r="K33" s="39">
        <f t="shared" si="19"/>
        <v>216000</v>
      </c>
      <c r="L33" s="39">
        <f t="shared" si="20"/>
        <v>54000</v>
      </c>
      <c r="M33" s="39"/>
      <c r="N33" s="58">
        <f t="shared" si="4"/>
        <v>16200.000000000002</v>
      </c>
      <c r="O33" s="58">
        <f t="shared" si="5"/>
        <v>21600</v>
      </c>
      <c r="P33" s="58"/>
      <c r="Q33" s="58"/>
      <c r="R33" s="65">
        <f t="shared" si="6"/>
        <v>16200.000000000002</v>
      </c>
      <c r="S33" s="65">
        <f t="shared" si="7"/>
        <v>43200</v>
      </c>
      <c r="T33" s="68"/>
      <c r="U33" s="68"/>
      <c r="V33" s="65">
        <v>21600</v>
      </c>
      <c r="W33" s="65">
        <v>10800</v>
      </c>
      <c r="X33" s="65">
        <v>10800</v>
      </c>
      <c r="Y33" s="65"/>
      <c r="Z33" s="59">
        <f t="shared" si="8"/>
        <v>70000</v>
      </c>
      <c r="AA33" s="59">
        <v>55000</v>
      </c>
      <c r="AB33" s="59">
        <v>10000</v>
      </c>
      <c r="AC33" s="59">
        <f t="shared" si="9"/>
        <v>15000</v>
      </c>
      <c r="AD33" s="59">
        <f t="shared" si="10"/>
        <v>0</v>
      </c>
      <c r="AE33" s="59">
        <f t="shared" si="11"/>
        <v>30000</v>
      </c>
      <c r="AF33" s="59">
        <f t="shared" si="12"/>
        <v>9000</v>
      </c>
      <c r="AG33" s="59">
        <f t="shared" si="13"/>
        <v>9000</v>
      </c>
      <c r="AH33" s="59">
        <f t="shared" si="14"/>
        <v>0</v>
      </c>
      <c r="AI33" s="59"/>
      <c r="AJ33" s="59" t="s">
        <v>130</v>
      </c>
      <c r="AK33" s="66">
        <f t="shared" si="15"/>
        <v>576</v>
      </c>
      <c r="AL33" s="37">
        <v>3</v>
      </c>
      <c r="AM33" s="37">
        <v>50</v>
      </c>
      <c r="AN33" s="38">
        <v>81</v>
      </c>
      <c r="AO33" s="70">
        <f t="shared" si="18"/>
        <v>60371666.666666664</v>
      </c>
      <c r="AP33" s="39" t="s">
        <v>104</v>
      </c>
      <c r="AQ33" s="38" t="s">
        <v>109</v>
      </c>
      <c r="AR33" s="38" t="s">
        <v>83</v>
      </c>
      <c r="AS33" s="38" t="s">
        <v>83</v>
      </c>
      <c r="AT33" s="38" t="s">
        <v>83</v>
      </c>
      <c r="AU33" s="38" t="s">
        <v>111</v>
      </c>
      <c r="AV33" s="40"/>
      <c r="AW33" s="38"/>
      <c r="AX33" s="40"/>
      <c r="AY33" s="41" t="str">
        <f t="shared" si="16"/>
        <v>100-110</v>
      </c>
      <c r="AZ33" s="75"/>
      <c r="BA33" s="37"/>
      <c r="BB33" s="42"/>
      <c r="BC33" s="137">
        <v>1800000</v>
      </c>
      <c r="BD33" s="139" t="s">
        <v>160</v>
      </c>
    </row>
    <row r="34" spans="1:62" ht="15">
      <c r="A34" s="39" t="s">
        <v>186</v>
      </c>
      <c r="B34" s="39" t="s">
        <v>53</v>
      </c>
      <c r="C34" s="39" t="s">
        <v>54</v>
      </c>
      <c r="D34" s="39">
        <f t="shared" si="0"/>
        <v>1396200</v>
      </c>
      <c r="E34" s="64">
        <f t="shared" si="1"/>
        <v>1317200</v>
      </c>
      <c r="F34" s="179">
        <f t="shared" si="17"/>
        <v>0.53143030671120561</v>
      </c>
      <c r="G34" s="57">
        <v>700000</v>
      </c>
      <c r="H34" s="57">
        <f t="shared" si="2"/>
        <v>250000</v>
      </c>
      <c r="I34" s="57">
        <f t="shared" si="3"/>
        <v>324000</v>
      </c>
      <c r="J34" s="57"/>
      <c r="K34" s="39">
        <f t="shared" si="19"/>
        <v>216000</v>
      </c>
      <c r="L34" s="39">
        <f t="shared" si="20"/>
        <v>54000</v>
      </c>
      <c r="M34" s="39"/>
      <c r="N34" s="58">
        <f t="shared" si="4"/>
        <v>16200.000000000002</v>
      </c>
      <c r="O34" s="58">
        <f t="shared" si="5"/>
        <v>21600</v>
      </c>
      <c r="P34" s="58"/>
      <c r="Q34" s="58"/>
      <c r="R34" s="65">
        <f t="shared" si="6"/>
        <v>16200.000000000002</v>
      </c>
      <c r="S34" s="65">
        <f t="shared" si="7"/>
        <v>43200</v>
      </c>
      <c r="T34" s="68"/>
      <c r="U34" s="68"/>
      <c r="V34" s="65">
        <v>21600</v>
      </c>
      <c r="W34" s="65">
        <v>10800</v>
      </c>
      <c r="X34" s="65">
        <v>10800</v>
      </c>
      <c r="Y34" s="65"/>
      <c r="Z34" s="59">
        <f t="shared" si="8"/>
        <v>70000</v>
      </c>
      <c r="AA34" s="59">
        <v>55000</v>
      </c>
      <c r="AB34" s="59">
        <v>10000</v>
      </c>
      <c r="AC34" s="59">
        <f t="shared" si="9"/>
        <v>15000</v>
      </c>
      <c r="AD34" s="59">
        <f t="shared" si="10"/>
        <v>0</v>
      </c>
      <c r="AE34" s="59">
        <f t="shared" si="11"/>
        <v>30000</v>
      </c>
      <c r="AF34" s="59">
        <f t="shared" si="12"/>
        <v>9000</v>
      </c>
      <c r="AG34" s="59">
        <f t="shared" si="13"/>
        <v>9000</v>
      </c>
      <c r="AH34" s="59">
        <f t="shared" si="14"/>
        <v>0</v>
      </c>
      <c r="AI34" s="59"/>
      <c r="AJ34" s="59" t="s">
        <v>130</v>
      </c>
      <c r="AK34" s="66">
        <f t="shared" si="15"/>
        <v>576</v>
      </c>
      <c r="AL34" s="37">
        <v>3</v>
      </c>
      <c r="AM34" s="37">
        <v>50</v>
      </c>
      <c r="AN34" s="38">
        <v>81</v>
      </c>
      <c r="AO34" s="70">
        <f t="shared" si="18"/>
        <v>60371666.666666664</v>
      </c>
      <c r="AP34" s="39" t="s">
        <v>105</v>
      </c>
      <c r="AQ34" s="38" t="s">
        <v>109</v>
      </c>
      <c r="AR34" s="38" t="s">
        <v>83</v>
      </c>
      <c r="AS34" s="38" t="s">
        <v>83</v>
      </c>
      <c r="AT34" s="38" t="s">
        <v>83</v>
      </c>
      <c r="AU34" s="38" t="s">
        <v>111</v>
      </c>
      <c r="AV34" s="40"/>
      <c r="AW34" s="38"/>
      <c r="AX34" s="40"/>
      <c r="AY34" s="41" t="str">
        <f t="shared" si="16"/>
        <v>100-110</v>
      </c>
      <c r="AZ34" s="75"/>
      <c r="BA34" s="37"/>
      <c r="BB34" s="42"/>
      <c r="BC34" s="137">
        <v>1900000</v>
      </c>
      <c r="BD34" s="139" t="s">
        <v>161</v>
      </c>
    </row>
    <row r="35" spans="1:62">
      <c r="A35" s="39" t="s">
        <v>186</v>
      </c>
      <c r="B35" s="39" t="s">
        <v>53</v>
      </c>
      <c r="C35" s="39" t="s">
        <v>54</v>
      </c>
      <c r="D35" s="39">
        <f t="shared" si="0"/>
        <v>1420400</v>
      </c>
      <c r="E35" s="64">
        <f t="shared" si="1"/>
        <v>1333400</v>
      </c>
      <c r="F35" s="179">
        <f t="shared" si="17"/>
        <v>0.5249737513124344</v>
      </c>
      <c r="G35" s="39">
        <v>700000</v>
      </c>
      <c r="H35" s="57">
        <f t="shared" si="2"/>
        <v>250000</v>
      </c>
      <c r="I35" s="57">
        <f t="shared" si="3"/>
        <v>329400</v>
      </c>
      <c r="J35" s="57"/>
      <c r="K35" s="39">
        <f t="shared" si="19"/>
        <v>216000</v>
      </c>
      <c r="L35" s="39">
        <f t="shared" si="20"/>
        <v>54000</v>
      </c>
      <c r="M35" s="39"/>
      <c r="N35" s="58">
        <f t="shared" si="4"/>
        <v>16200.000000000002</v>
      </c>
      <c r="O35" s="58">
        <f t="shared" si="5"/>
        <v>21600</v>
      </c>
      <c r="P35" s="58"/>
      <c r="Q35" s="58"/>
      <c r="R35" s="65">
        <f t="shared" si="6"/>
        <v>21600</v>
      </c>
      <c r="S35" s="65">
        <f t="shared" si="7"/>
        <v>54000</v>
      </c>
      <c r="T35" s="68"/>
      <c r="U35" s="68"/>
      <c r="V35" s="65">
        <v>21600</v>
      </c>
      <c r="W35" s="65">
        <v>10800</v>
      </c>
      <c r="X35" s="65">
        <v>10800</v>
      </c>
      <c r="Y35" s="65">
        <v>10800</v>
      </c>
      <c r="Z35" s="59">
        <f t="shared" si="8"/>
        <v>75000</v>
      </c>
      <c r="AA35" s="59">
        <v>55000</v>
      </c>
      <c r="AB35" s="59">
        <v>10000</v>
      </c>
      <c r="AC35" s="59">
        <f t="shared" si="9"/>
        <v>20000</v>
      </c>
      <c r="AD35" s="59">
        <f t="shared" si="10"/>
        <v>0</v>
      </c>
      <c r="AE35" s="59">
        <f t="shared" si="11"/>
        <v>40000</v>
      </c>
      <c r="AF35" s="59">
        <f t="shared" si="12"/>
        <v>12000</v>
      </c>
      <c r="AG35" s="59">
        <f t="shared" si="13"/>
        <v>12000</v>
      </c>
      <c r="AH35" s="59">
        <f t="shared" si="14"/>
        <v>0</v>
      </c>
      <c r="AI35" s="59"/>
      <c r="AJ35" s="59" t="s">
        <v>130</v>
      </c>
      <c r="AK35" s="66">
        <f t="shared" si="15"/>
        <v>576</v>
      </c>
      <c r="AL35" s="37">
        <v>4</v>
      </c>
      <c r="AM35" s="37">
        <v>50</v>
      </c>
      <c r="AN35" s="38">
        <v>91</v>
      </c>
      <c r="AO35" s="70">
        <f t="shared" si="18"/>
        <v>61114166.666666664</v>
      </c>
      <c r="AP35" s="39" t="s">
        <v>103</v>
      </c>
      <c r="AQ35" s="38" t="s">
        <v>109</v>
      </c>
      <c r="AR35" s="38" t="s">
        <v>83</v>
      </c>
      <c r="AS35" s="38" t="s">
        <v>83</v>
      </c>
      <c r="AT35" s="38" t="s">
        <v>83</v>
      </c>
      <c r="AU35" s="38" t="s">
        <v>111</v>
      </c>
      <c r="AV35" s="40"/>
      <c r="AW35" s="38"/>
      <c r="AX35" s="40"/>
      <c r="AY35" s="41" t="str">
        <f t="shared" si="16"/>
        <v>100-110</v>
      </c>
      <c r="AZ35" s="75"/>
      <c r="BA35" s="37"/>
      <c r="BB35" s="42"/>
      <c r="BC35" s="144"/>
      <c r="BD35" s="145"/>
    </row>
    <row r="36" spans="1:62">
      <c r="A36" s="39" t="s">
        <v>186</v>
      </c>
      <c r="B36" s="39" t="s">
        <v>53</v>
      </c>
      <c r="C36" s="39" t="s">
        <v>54</v>
      </c>
      <c r="D36" s="39">
        <f t="shared" si="0"/>
        <v>1420400</v>
      </c>
      <c r="E36" s="64">
        <f t="shared" si="1"/>
        <v>1333400</v>
      </c>
      <c r="F36" s="179">
        <f t="shared" si="17"/>
        <v>0.5249737513124344</v>
      </c>
      <c r="G36" s="39">
        <v>700000</v>
      </c>
      <c r="H36" s="57">
        <f t="shared" si="2"/>
        <v>250000</v>
      </c>
      <c r="I36" s="57">
        <f t="shared" si="3"/>
        <v>329400</v>
      </c>
      <c r="J36" s="58"/>
      <c r="K36" s="56">
        <f t="shared" si="19"/>
        <v>216000</v>
      </c>
      <c r="L36" s="56">
        <f t="shared" si="20"/>
        <v>54000</v>
      </c>
      <c r="M36" s="56"/>
      <c r="N36" s="58">
        <f t="shared" si="4"/>
        <v>16200.000000000002</v>
      </c>
      <c r="O36" s="58">
        <f t="shared" si="5"/>
        <v>21600</v>
      </c>
      <c r="P36" s="58"/>
      <c r="Q36" s="58"/>
      <c r="R36" s="65">
        <f t="shared" si="6"/>
        <v>21600</v>
      </c>
      <c r="S36" s="65">
        <f t="shared" si="7"/>
        <v>54000</v>
      </c>
      <c r="T36" s="68"/>
      <c r="U36" s="68"/>
      <c r="V36" s="65">
        <v>21600</v>
      </c>
      <c r="W36" s="65">
        <v>10800</v>
      </c>
      <c r="X36" s="65">
        <v>10800</v>
      </c>
      <c r="Y36" s="65">
        <v>10800</v>
      </c>
      <c r="Z36" s="59">
        <f t="shared" si="8"/>
        <v>75000</v>
      </c>
      <c r="AA36" s="59">
        <v>55000</v>
      </c>
      <c r="AB36" s="59">
        <v>10000</v>
      </c>
      <c r="AC36" s="59">
        <f t="shared" si="9"/>
        <v>20000</v>
      </c>
      <c r="AD36" s="59">
        <f t="shared" si="10"/>
        <v>0</v>
      </c>
      <c r="AE36" s="59">
        <f t="shared" si="11"/>
        <v>40000</v>
      </c>
      <c r="AF36" s="59">
        <f t="shared" si="12"/>
        <v>12000</v>
      </c>
      <c r="AG36" s="59">
        <f t="shared" si="13"/>
        <v>12000</v>
      </c>
      <c r="AH36" s="59">
        <f t="shared" si="14"/>
        <v>0</v>
      </c>
      <c r="AI36" s="59"/>
      <c r="AJ36" s="59" t="s">
        <v>130</v>
      </c>
      <c r="AK36" s="66">
        <f t="shared" si="15"/>
        <v>576</v>
      </c>
      <c r="AL36" s="37">
        <v>4</v>
      </c>
      <c r="AM36" s="37">
        <v>50</v>
      </c>
      <c r="AN36" s="38">
        <v>91</v>
      </c>
      <c r="AO36" s="70">
        <f t="shared" si="18"/>
        <v>61114166.666666664</v>
      </c>
      <c r="AP36" s="56" t="s">
        <v>104</v>
      </c>
      <c r="AQ36" s="38" t="s">
        <v>109</v>
      </c>
      <c r="AR36" s="38" t="s">
        <v>83</v>
      </c>
      <c r="AS36" s="38" t="s">
        <v>83</v>
      </c>
      <c r="AT36" s="38" t="s">
        <v>83</v>
      </c>
      <c r="AU36" s="38" t="s">
        <v>111</v>
      </c>
      <c r="AV36" s="40"/>
      <c r="AW36" s="38"/>
      <c r="AX36" s="40"/>
      <c r="AY36" s="41" t="str">
        <f t="shared" si="16"/>
        <v>100-110</v>
      </c>
      <c r="AZ36" s="75"/>
      <c r="BA36" s="37"/>
      <c r="BB36" s="42"/>
      <c r="BC36" s="144"/>
      <c r="BD36" s="145"/>
    </row>
    <row r="37" spans="1:62">
      <c r="A37" s="39" t="s">
        <v>186</v>
      </c>
      <c r="B37" s="39" t="s">
        <v>53</v>
      </c>
      <c r="C37" s="39" t="s">
        <v>92</v>
      </c>
      <c r="D37" s="39">
        <f t="shared" si="0"/>
        <v>1290600</v>
      </c>
      <c r="E37" s="64">
        <f t="shared" si="1"/>
        <v>1230600</v>
      </c>
      <c r="F37" s="179">
        <f t="shared" si="17"/>
        <v>0.6500893872907525</v>
      </c>
      <c r="G37" s="45">
        <v>800000</v>
      </c>
      <c r="H37" s="39">
        <f>$BH$7*AM37</f>
        <v>50000</v>
      </c>
      <c r="I37" s="57">
        <f t="shared" si="3"/>
        <v>326600</v>
      </c>
      <c r="J37" s="57"/>
      <c r="K37" s="39">
        <f t="shared" si="19"/>
        <v>216000</v>
      </c>
      <c r="L37" s="39">
        <f t="shared" si="20"/>
        <v>54000</v>
      </c>
      <c r="M37" s="39"/>
      <c r="N37" s="56">
        <v>15000</v>
      </c>
      <c r="O37" s="56">
        <v>20000</v>
      </c>
      <c r="P37" s="56"/>
      <c r="Q37" s="56"/>
      <c r="R37" s="39">
        <f>$BH$8*AL37*1.08</f>
        <v>21600</v>
      </c>
      <c r="S37" s="65">
        <f t="shared" si="7"/>
        <v>54000</v>
      </c>
      <c r="T37" s="68"/>
      <c r="U37" s="68"/>
      <c r="V37" s="39">
        <v>21600</v>
      </c>
      <c r="W37" s="39">
        <v>10800</v>
      </c>
      <c r="X37" s="39">
        <v>10800</v>
      </c>
      <c r="Y37" s="39">
        <v>10800</v>
      </c>
      <c r="Z37" s="59">
        <f t="shared" si="8"/>
        <v>30000</v>
      </c>
      <c r="AA37" s="71">
        <v>30000</v>
      </c>
      <c r="AB37" s="71">
        <v>20000</v>
      </c>
      <c r="AC37" s="71"/>
      <c r="AD37" s="59">
        <f>$BH$11*AL37</f>
        <v>0</v>
      </c>
      <c r="AE37" s="71"/>
      <c r="AF37" s="59">
        <f t="shared" si="12"/>
        <v>30000</v>
      </c>
      <c r="AG37" s="71">
        <v>30000</v>
      </c>
      <c r="AH37" s="59">
        <f>$BH$11*AL37</f>
        <v>0</v>
      </c>
      <c r="AI37" s="59"/>
      <c r="AJ37" s="59" t="s">
        <v>130</v>
      </c>
      <c r="AK37" s="66">
        <f t="shared" si="15"/>
        <v>576</v>
      </c>
      <c r="AL37" s="44">
        <v>4</v>
      </c>
      <c r="AM37" s="37">
        <v>50</v>
      </c>
      <c r="AN37" s="37">
        <v>91</v>
      </c>
      <c r="AO37" s="70">
        <f t="shared" si="18"/>
        <v>56402500</v>
      </c>
      <c r="AP37" s="39" t="s">
        <v>104</v>
      </c>
      <c r="AQ37" s="38" t="s">
        <v>109</v>
      </c>
      <c r="AR37" s="38" t="s">
        <v>83</v>
      </c>
      <c r="AS37" s="38" t="s">
        <v>83</v>
      </c>
      <c r="AT37" s="38" t="s">
        <v>83</v>
      </c>
      <c r="AU37" s="38" t="s">
        <v>111</v>
      </c>
      <c r="AV37" s="46">
        <v>16</v>
      </c>
      <c r="AW37" s="46">
        <v>13</v>
      </c>
      <c r="AX37" s="40">
        <f>E37*AW37</f>
        <v>15997800</v>
      </c>
      <c r="AY37" s="41" t="str">
        <f t="shared" si="16"/>
        <v>100-110</v>
      </c>
      <c r="AZ37" s="76"/>
      <c r="BA37" s="136"/>
      <c r="BB37" s="136"/>
      <c r="BC37" s="143"/>
      <c r="BD37" s="154"/>
      <c r="BE37" s="155"/>
      <c r="BF37" s="155"/>
      <c r="BG37" s="155"/>
      <c r="BH37" s="155"/>
      <c r="BI37" s="155"/>
      <c r="BJ37" s="155"/>
    </row>
    <row r="38" spans="1:62">
      <c r="A38" s="39" t="s">
        <v>186</v>
      </c>
      <c r="B38" s="39" t="s">
        <v>53</v>
      </c>
      <c r="C38" s="39" t="s">
        <v>92</v>
      </c>
      <c r="D38" s="39">
        <f t="shared" si="0"/>
        <v>1290600</v>
      </c>
      <c r="E38" s="64">
        <f t="shared" si="1"/>
        <v>1230600</v>
      </c>
      <c r="F38" s="179">
        <f t="shared" si="17"/>
        <v>0.6500893872907525</v>
      </c>
      <c r="G38" s="45">
        <v>800000</v>
      </c>
      <c r="H38" s="39">
        <f>$BH$7*AM38</f>
        <v>50000</v>
      </c>
      <c r="I38" s="57">
        <f t="shared" ref="I38:I69" si="21">SUM(J38:R38)</f>
        <v>326600</v>
      </c>
      <c r="J38" s="57"/>
      <c r="K38" s="39">
        <f t="shared" si="19"/>
        <v>216000</v>
      </c>
      <c r="L38" s="39">
        <f t="shared" si="20"/>
        <v>54000</v>
      </c>
      <c r="M38" s="39"/>
      <c r="N38" s="56">
        <v>15000</v>
      </c>
      <c r="O38" s="56">
        <v>20000</v>
      </c>
      <c r="P38" s="56"/>
      <c r="Q38" s="56"/>
      <c r="R38" s="39">
        <f>$BH$8*AL38*1.08</f>
        <v>21600</v>
      </c>
      <c r="S38" s="65">
        <f t="shared" ref="S38:S69" si="22">SUM(T38:Y38)</f>
        <v>54000</v>
      </c>
      <c r="T38" s="68"/>
      <c r="U38" s="68"/>
      <c r="V38" s="39">
        <v>21600</v>
      </c>
      <c r="W38" s="39">
        <v>10800</v>
      </c>
      <c r="X38" s="39">
        <v>10800</v>
      </c>
      <c r="Y38" s="39">
        <v>10800</v>
      </c>
      <c r="Z38" s="59">
        <f t="shared" si="8"/>
        <v>30000</v>
      </c>
      <c r="AA38" s="71">
        <v>30000</v>
      </c>
      <c r="AB38" s="71">
        <v>20000</v>
      </c>
      <c r="AC38" s="71"/>
      <c r="AD38" s="59">
        <f>$BH$11*AL38</f>
        <v>0</v>
      </c>
      <c r="AE38" s="71"/>
      <c r="AF38" s="59">
        <f t="shared" si="12"/>
        <v>30000</v>
      </c>
      <c r="AG38" s="71">
        <v>30000</v>
      </c>
      <c r="AH38" s="59">
        <f>$BH$11*AL38</f>
        <v>0</v>
      </c>
      <c r="AI38" s="59"/>
      <c r="AJ38" s="59" t="s">
        <v>130</v>
      </c>
      <c r="AK38" s="66">
        <f t="shared" ref="AK38:AK69" si="23">24*24</f>
        <v>576</v>
      </c>
      <c r="AL38" s="44">
        <v>4</v>
      </c>
      <c r="AM38" s="37">
        <v>50</v>
      </c>
      <c r="AN38" s="37">
        <v>91</v>
      </c>
      <c r="AO38" s="70">
        <f t="shared" si="18"/>
        <v>56402500</v>
      </c>
      <c r="AP38" s="39" t="s">
        <v>123</v>
      </c>
      <c r="AQ38" s="38" t="s">
        <v>109</v>
      </c>
      <c r="AR38" s="38" t="s">
        <v>83</v>
      </c>
      <c r="AS38" s="38" t="s">
        <v>83</v>
      </c>
      <c r="AT38" s="38" t="s">
        <v>83</v>
      </c>
      <c r="AU38" s="38" t="s">
        <v>111</v>
      </c>
      <c r="AV38" s="46"/>
      <c r="AW38" s="46"/>
      <c r="AX38" s="40"/>
      <c r="AY38" s="41" t="str">
        <f t="shared" ref="AY38:AY69" si="24">VLOOKUP(E38,$BC$6:$BD$28,2)</f>
        <v>100-110</v>
      </c>
      <c r="AZ38" s="76"/>
      <c r="BA38" s="136"/>
      <c r="BB38" s="136"/>
      <c r="BC38" s="143"/>
      <c r="BD38" s="154"/>
      <c r="BE38" s="155"/>
      <c r="BF38" s="155"/>
      <c r="BG38" s="155"/>
      <c r="BH38" s="155"/>
      <c r="BI38" s="155"/>
      <c r="BJ38" s="155"/>
    </row>
    <row r="39" spans="1:62">
      <c r="A39" s="39" t="s">
        <v>186</v>
      </c>
      <c r="B39" s="39" t="s">
        <v>53</v>
      </c>
      <c r="C39" s="39" t="s">
        <v>92</v>
      </c>
      <c r="D39" s="39">
        <f t="shared" si="0"/>
        <v>1290600</v>
      </c>
      <c r="E39" s="64">
        <f t="shared" si="1"/>
        <v>1230600</v>
      </c>
      <c r="F39" s="179">
        <f t="shared" si="17"/>
        <v>0.6500893872907525</v>
      </c>
      <c r="G39" s="45">
        <v>800000</v>
      </c>
      <c r="H39" s="39">
        <f>$BH$7*AM39</f>
        <v>50000</v>
      </c>
      <c r="I39" s="57">
        <f t="shared" si="21"/>
        <v>326600</v>
      </c>
      <c r="J39" s="57"/>
      <c r="K39" s="39">
        <f t="shared" si="19"/>
        <v>216000</v>
      </c>
      <c r="L39" s="39">
        <f t="shared" si="20"/>
        <v>54000</v>
      </c>
      <c r="M39" s="39"/>
      <c r="N39" s="56">
        <v>15000</v>
      </c>
      <c r="O39" s="56">
        <v>20000</v>
      </c>
      <c r="P39" s="56"/>
      <c r="Q39" s="56"/>
      <c r="R39" s="39">
        <f>$BH$8*AL39*1.08</f>
        <v>21600</v>
      </c>
      <c r="S39" s="65">
        <f t="shared" si="22"/>
        <v>54000</v>
      </c>
      <c r="T39" s="68"/>
      <c r="U39" s="68"/>
      <c r="V39" s="39">
        <v>21600</v>
      </c>
      <c r="W39" s="39">
        <v>10800</v>
      </c>
      <c r="X39" s="39">
        <v>10800</v>
      </c>
      <c r="Y39" s="39">
        <v>10800</v>
      </c>
      <c r="Z39" s="59">
        <f t="shared" si="8"/>
        <v>30000</v>
      </c>
      <c r="AA39" s="71">
        <v>30000</v>
      </c>
      <c r="AB39" s="71">
        <v>20000</v>
      </c>
      <c r="AC39" s="71"/>
      <c r="AD39" s="59">
        <f>$BH$11*AL39</f>
        <v>0</v>
      </c>
      <c r="AE39" s="71"/>
      <c r="AF39" s="59">
        <f t="shared" si="12"/>
        <v>30000</v>
      </c>
      <c r="AG39" s="71">
        <v>30000</v>
      </c>
      <c r="AH39" s="59">
        <f>$BH$11*AL39</f>
        <v>0</v>
      </c>
      <c r="AI39" s="59"/>
      <c r="AJ39" s="59" t="s">
        <v>130</v>
      </c>
      <c r="AK39" s="66">
        <f t="shared" si="23"/>
        <v>576</v>
      </c>
      <c r="AL39" s="44">
        <v>4</v>
      </c>
      <c r="AM39" s="37">
        <v>50</v>
      </c>
      <c r="AN39" s="37">
        <v>91</v>
      </c>
      <c r="AO39" s="70">
        <f t="shared" si="18"/>
        <v>56402500</v>
      </c>
      <c r="AP39" s="39" t="s">
        <v>105</v>
      </c>
      <c r="AQ39" s="38" t="s">
        <v>109</v>
      </c>
      <c r="AR39" s="38" t="s">
        <v>83</v>
      </c>
      <c r="AS39" s="38" t="s">
        <v>83</v>
      </c>
      <c r="AT39" s="38" t="s">
        <v>83</v>
      </c>
      <c r="AU39" s="38" t="s">
        <v>111</v>
      </c>
      <c r="AV39" s="46"/>
      <c r="AW39" s="46"/>
      <c r="AX39" s="40"/>
      <c r="AY39" s="41" t="str">
        <f t="shared" si="24"/>
        <v>100-110</v>
      </c>
      <c r="AZ39" s="76"/>
      <c r="BA39" s="136"/>
      <c r="BB39" s="136"/>
      <c r="BC39" s="143"/>
      <c r="BD39" s="154"/>
      <c r="BE39" s="49"/>
      <c r="BF39" s="49"/>
      <c r="BG39" s="49"/>
      <c r="BH39" s="49"/>
      <c r="BI39" s="49"/>
      <c r="BJ39" s="49"/>
    </row>
    <row r="40" spans="1:62">
      <c r="A40" s="39" t="s">
        <v>186</v>
      </c>
      <c r="B40" s="39" t="s">
        <v>53</v>
      </c>
      <c r="C40" s="39" t="s">
        <v>54</v>
      </c>
      <c r="D40" s="39">
        <f t="shared" si="0"/>
        <v>1420400</v>
      </c>
      <c r="E40" s="64">
        <f t="shared" si="1"/>
        <v>1333400</v>
      </c>
      <c r="F40" s="179">
        <f t="shared" si="17"/>
        <v>0.5249737513124344</v>
      </c>
      <c r="G40" s="39">
        <v>700000</v>
      </c>
      <c r="H40" s="57">
        <f>$BF$7*AM40</f>
        <v>250000</v>
      </c>
      <c r="I40" s="57">
        <f t="shared" si="21"/>
        <v>329400</v>
      </c>
      <c r="J40" s="57"/>
      <c r="K40" s="39">
        <f t="shared" si="19"/>
        <v>216000</v>
      </c>
      <c r="L40" s="39">
        <f t="shared" si="20"/>
        <v>54000</v>
      </c>
      <c r="M40" s="39"/>
      <c r="N40" s="58">
        <f>15000*1.08</f>
        <v>16200.000000000002</v>
      </c>
      <c r="O40" s="58">
        <f>20000*1.08</f>
        <v>21600</v>
      </c>
      <c r="P40" s="58"/>
      <c r="Q40" s="58"/>
      <c r="R40" s="65">
        <f>$BF$7*AL40*1.08</f>
        <v>21600</v>
      </c>
      <c r="S40" s="65">
        <f t="shared" si="22"/>
        <v>54000</v>
      </c>
      <c r="T40" s="68"/>
      <c r="U40" s="68"/>
      <c r="V40" s="65">
        <v>21600</v>
      </c>
      <c r="W40" s="65">
        <v>10800</v>
      </c>
      <c r="X40" s="65">
        <v>10800</v>
      </c>
      <c r="Y40" s="65">
        <v>10800</v>
      </c>
      <c r="Z40" s="59">
        <f t="shared" si="8"/>
        <v>75000</v>
      </c>
      <c r="AA40" s="59">
        <v>55000</v>
      </c>
      <c r="AB40" s="59">
        <v>10000</v>
      </c>
      <c r="AC40" s="59">
        <f>$BF$10*AL40</f>
        <v>20000</v>
      </c>
      <c r="AD40" s="59">
        <f>$BF$11*AL40</f>
        <v>0</v>
      </c>
      <c r="AE40" s="59">
        <f>$BF$12*AL40</f>
        <v>40000</v>
      </c>
      <c r="AF40" s="59">
        <f t="shared" si="12"/>
        <v>12000</v>
      </c>
      <c r="AG40" s="59">
        <f>$BF$13*AL40</f>
        <v>12000</v>
      </c>
      <c r="AH40" s="59">
        <f>$BF$11*AL40</f>
        <v>0</v>
      </c>
      <c r="AI40" s="59"/>
      <c r="AJ40" s="59" t="s">
        <v>130</v>
      </c>
      <c r="AK40" s="66">
        <f t="shared" si="23"/>
        <v>576</v>
      </c>
      <c r="AL40" s="37">
        <v>4</v>
      </c>
      <c r="AM40" s="37">
        <v>50</v>
      </c>
      <c r="AN40" s="38">
        <v>91</v>
      </c>
      <c r="AO40" s="70">
        <f t="shared" si="18"/>
        <v>61114166.666666664</v>
      </c>
      <c r="AP40" s="39" t="s">
        <v>105</v>
      </c>
      <c r="AQ40" s="38" t="s">
        <v>109</v>
      </c>
      <c r="AR40" s="38" t="s">
        <v>83</v>
      </c>
      <c r="AS40" s="38" t="s">
        <v>83</v>
      </c>
      <c r="AT40" s="38" t="s">
        <v>83</v>
      </c>
      <c r="AU40" s="38" t="s">
        <v>111</v>
      </c>
      <c r="AV40" s="40"/>
      <c r="AW40" s="38"/>
      <c r="AX40" s="40"/>
      <c r="AY40" s="41" t="str">
        <f t="shared" si="24"/>
        <v>100-110</v>
      </c>
      <c r="AZ40" s="75"/>
      <c r="BA40" s="37"/>
      <c r="BB40" s="42"/>
      <c r="BC40" s="144"/>
      <c r="BD40" s="145"/>
    </row>
    <row r="41" spans="1:62" ht="15">
      <c r="A41" s="39" t="s">
        <v>186</v>
      </c>
      <c r="B41" s="39" t="s">
        <v>53</v>
      </c>
      <c r="C41" s="39" t="s">
        <v>54</v>
      </c>
      <c r="D41" s="39">
        <f t="shared" si="0"/>
        <v>1409800</v>
      </c>
      <c r="E41" s="64">
        <f t="shared" si="1"/>
        <v>1330800</v>
      </c>
      <c r="F41" s="179">
        <f t="shared" si="17"/>
        <v>0.60114217012323412</v>
      </c>
      <c r="G41" s="57">
        <v>800000</v>
      </c>
      <c r="H41" s="57">
        <f>$BF$7*AM41</f>
        <v>250000</v>
      </c>
      <c r="I41" s="57">
        <f t="shared" si="21"/>
        <v>237600</v>
      </c>
      <c r="J41" s="57"/>
      <c r="K41" s="39">
        <f>1.08*140000</f>
        <v>151200</v>
      </c>
      <c r="L41" s="39">
        <f>1.08*30000</f>
        <v>32400.000000000004</v>
      </c>
      <c r="M41" s="39"/>
      <c r="N41" s="58">
        <f>15000*1.08</f>
        <v>16200.000000000002</v>
      </c>
      <c r="O41" s="58">
        <f>20000*1.08</f>
        <v>21600</v>
      </c>
      <c r="P41" s="58"/>
      <c r="Q41" s="58"/>
      <c r="R41" s="65">
        <f>$BF$7*AL41*1.08</f>
        <v>16200.000000000002</v>
      </c>
      <c r="S41" s="65">
        <f t="shared" si="22"/>
        <v>43200</v>
      </c>
      <c r="T41" s="68"/>
      <c r="U41" s="68"/>
      <c r="V41" s="65">
        <v>21600</v>
      </c>
      <c r="W41" s="65">
        <v>10800</v>
      </c>
      <c r="X41" s="65">
        <v>10800</v>
      </c>
      <c r="Y41" s="65"/>
      <c r="Z41" s="59">
        <f t="shared" si="8"/>
        <v>70000</v>
      </c>
      <c r="AA41" s="59">
        <v>55000</v>
      </c>
      <c r="AB41" s="59">
        <v>10000</v>
      </c>
      <c r="AC41" s="59">
        <f>$BF$10*AL41</f>
        <v>15000</v>
      </c>
      <c r="AD41" s="59">
        <f>$BF$11*AL41</f>
        <v>0</v>
      </c>
      <c r="AE41" s="59">
        <f>$BF$12*AL41</f>
        <v>30000</v>
      </c>
      <c r="AF41" s="59">
        <f t="shared" si="12"/>
        <v>9000</v>
      </c>
      <c r="AG41" s="59">
        <f>$BF$13*AL41</f>
        <v>9000</v>
      </c>
      <c r="AH41" s="59">
        <f>$BF$11*AL41</f>
        <v>0</v>
      </c>
      <c r="AI41" s="59"/>
      <c r="AJ41" s="59" t="s">
        <v>130</v>
      </c>
      <c r="AK41" s="66">
        <f t="shared" si="23"/>
        <v>576</v>
      </c>
      <c r="AL41" s="37">
        <v>3</v>
      </c>
      <c r="AM41" s="37">
        <v>50</v>
      </c>
      <c r="AN41" s="38">
        <v>81</v>
      </c>
      <c r="AO41" s="70">
        <f t="shared" si="18"/>
        <v>60995000</v>
      </c>
      <c r="AP41" s="39" t="s">
        <v>102</v>
      </c>
      <c r="AQ41" s="38" t="s">
        <v>109</v>
      </c>
      <c r="AR41" s="38" t="s">
        <v>83</v>
      </c>
      <c r="AS41" s="38" t="s">
        <v>83</v>
      </c>
      <c r="AT41" s="38" t="s">
        <v>83</v>
      </c>
      <c r="AU41" s="38" t="s">
        <v>111</v>
      </c>
      <c r="AV41" s="40"/>
      <c r="AW41" s="38"/>
      <c r="AX41" s="40"/>
      <c r="AY41" s="41" t="str">
        <f t="shared" si="24"/>
        <v>100-110</v>
      </c>
      <c r="AZ41" s="75"/>
      <c r="BA41" s="37"/>
      <c r="BB41" s="42"/>
      <c r="BC41" s="137">
        <v>2200000</v>
      </c>
      <c r="BD41" s="139" t="s">
        <v>164</v>
      </c>
    </row>
    <row r="42" spans="1:62">
      <c r="A42" s="39" t="s">
        <v>186</v>
      </c>
      <c r="B42" s="39" t="s">
        <v>53</v>
      </c>
      <c r="C42" s="39" t="s">
        <v>54</v>
      </c>
      <c r="D42" s="39">
        <f t="shared" si="0"/>
        <v>1430000</v>
      </c>
      <c r="E42" s="64">
        <f t="shared" si="1"/>
        <v>1343000</v>
      </c>
      <c r="F42" s="179">
        <f t="shared" si="17"/>
        <v>0.63291139240506333</v>
      </c>
      <c r="G42" s="39">
        <v>850000</v>
      </c>
      <c r="H42" s="57">
        <f>$BF$7*AM42</f>
        <v>250000</v>
      </c>
      <c r="I42" s="57">
        <f t="shared" si="21"/>
        <v>189000</v>
      </c>
      <c r="J42" s="58"/>
      <c r="K42" s="56">
        <f>1.08*100000</f>
        <v>108000</v>
      </c>
      <c r="L42" s="56">
        <f>1.08*20000</f>
        <v>21600</v>
      </c>
      <c r="M42" s="56"/>
      <c r="N42" s="58">
        <f>15000*1.08</f>
        <v>16200.000000000002</v>
      </c>
      <c r="O42" s="58">
        <f>20000*1.08</f>
        <v>21600</v>
      </c>
      <c r="P42" s="58"/>
      <c r="Q42" s="58"/>
      <c r="R42" s="65">
        <f>$BF$7*AL42*1.08</f>
        <v>21600</v>
      </c>
      <c r="S42" s="65">
        <f t="shared" si="22"/>
        <v>54000</v>
      </c>
      <c r="T42" s="68"/>
      <c r="U42" s="68"/>
      <c r="V42" s="65">
        <v>21600</v>
      </c>
      <c r="W42" s="65">
        <v>10800</v>
      </c>
      <c r="X42" s="65">
        <v>10800</v>
      </c>
      <c r="Y42" s="65">
        <v>10800</v>
      </c>
      <c r="Z42" s="59">
        <f t="shared" si="8"/>
        <v>75000</v>
      </c>
      <c r="AA42" s="59">
        <v>55000</v>
      </c>
      <c r="AB42" s="59">
        <v>10000</v>
      </c>
      <c r="AC42" s="59">
        <f>$BF$10*AL42</f>
        <v>20000</v>
      </c>
      <c r="AD42" s="59">
        <f>$BF$11*AL42</f>
        <v>0</v>
      </c>
      <c r="AE42" s="59">
        <f>$BF$12*AL42</f>
        <v>40000</v>
      </c>
      <c r="AF42" s="59">
        <f t="shared" si="12"/>
        <v>12000</v>
      </c>
      <c r="AG42" s="59">
        <f>$BF$13*AL42</f>
        <v>12000</v>
      </c>
      <c r="AH42" s="59">
        <f>$BF$11*AL42</f>
        <v>0</v>
      </c>
      <c r="AI42" s="59"/>
      <c r="AJ42" s="59" t="s">
        <v>130</v>
      </c>
      <c r="AK42" s="66">
        <f t="shared" si="23"/>
        <v>576</v>
      </c>
      <c r="AL42" s="37">
        <v>4</v>
      </c>
      <c r="AM42" s="37">
        <v>50</v>
      </c>
      <c r="AN42" s="38">
        <v>91</v>
      </c>
      <c r="AO42" s="70">
        <f t="shared" si="18"/>
        <v>61554166.666666664</v>
      </c>
      <c r="AP42" s="56" t="s">
        <v>67</v>
      </c>
      <c r="AQ42" s="38" t="s">
        <v>109</v>
      </c>
      <c r="AR42" s="38" t="s">
        <v>83</v>
      </c>
      <c r="AS42" s="38" t="s">
        <v>83</v>
      </c>
      <c r="AT42" s="38" t="s">
        <v>83</v>
      </c>
      <c r="AU42" s="38" t="s">
        <v>111</v>
      </c>
      <c r="AV42" s="40"/>
      <c r="AW42" s="38"/>
      <c r="AX42" s="40"/>
      <c r="AY42" s="41" t="str">
        <f t="shared" si="24"/>
        <v>100-110</v>
      </c>
      <c r="AZ42" s="75"/>
      <c r="BA42" s="37"/>
      <c r="BB42" s="42"/>
      <c r="BC42" s="144"/>
      <c r="BD42" s="145"/>
    </row>
    <row r="43" spans="1:62">
      <c r="A43" s="39" t="s">
        <v>186</v>
      </c>
      <c r="B43" s="39" t="s">
        <v>53</v>
      </c>
      <c r="C43" s="39" t="s">
        <v>54</v>
      </c>
      <c r="D43" s="39">
        <f t="shared" si="0"/>
        <v>1434000</v>
      </c>
      <c r="E43" s="64">
        <f t="shared" si="1"/>
        <v>1347000</v>
      </c>
      <c r="F43" s="179">
        <f t="shared" si="17"/>
        <v>0.59391239792130657</v>
      </c>
      <c r="G43" s="39">
        <v>800000</v>
      </c>
      <c r="H43" s="57">
        <f>$BF$7*AM43</f>
        <v>250000</v>
      </c>
      <c r="I43" s="57">
        <f t="shared" si="21"/>
        <v>243000</v>
      </c>
      <c r="J43" s="57"/>
      <c r="K43" s="39">
        <f>1.08*140000</f>
        <v>151200</v>
      </c>
      <c r="L43" s="39">
        <f>1.08*30000</f>
        <v>32400.000000000004</v>
      </c>
      <c r="M43" s="39"/>
      <c r="N43" s="58">
        <f>15000*1.08</f>
        <v>16200.000000000002</v>
      </c>
      <c r="O43" s="58">
        <f>20000*1.08</f>
        <v>21600</v>
      </c>
      <c r="P43" s="58"/>
      <c r="Q43" s="58"/>
      <c r="R43" s="65">
        <f>$BF$7*AL43*1.08</f>
        <v>21600</v>
      </c>
      <c r="S43" s="65">
        <f t="shared" si="22"/>
        <v>54000</v>
      </c>
      <c r="T43" s="68"/>
      <c r="U43" s="68"/>
      <c r="V43" s="65">
        <v>21600</v>
      </c>
      <c r="W43" s="65">
        <v>10800</v>
      </c>
      <c r="X43" s="65">
        <v>10800</v>
      </c>
      <c r="Y43" s="65">
        <v>10800</v>
      </c>
      <c r="Z43" s="59">
        <f t="shared" si="8"/>
        <v>75000</v>
      </c>
      <c r="AA43" s="59">
        <v>55000</v>
      </c>
      <c r="AB43" s="59">
        <v>10000</v>
      </c>
      <c r="AC43" s="59">
        <f>$BF$10*AL43</f>
        <v>20000</v>
      </c>
      <c r="AD43" s="59">
        <f>$BF$11*AL43</f>
        <v>0</v>
      </c>
      <c r="AE43" s="59">
        <f>$BF$12*AL43</f>
        <v>40000</v>
      </c>
      <c r="AF43" s="59">
        <f t="shared" si="12"/>
        <v>12000</v>
      </c>
      <c r="AG43" s="59">
        <f>$BF$13*AL43</f>
        <v>12000</v>
      </c>
      <c r="AH43" s="59">
        <f>$BF$11*AL43</f>
        <v>0</v>
      </c>
      <c r="AI43" s="59"/>
      <c r="AJ43" s="59" t="s">
        <v>130</v>
      </c>
      <c r="AK43" s="66">
        <f t="shared" si="23"/>
        <v>576</v>
      </c>
      <c r="AL43" s="37">
        <v>4</v>
      </c>
      <c r="AM43" s="37">
        <v>50</v>
      </c>
      <c r="AN43" s="38">
        <v>91</v>
      </c>
      <c r="AO43" s="70">
        <f t="shared" si="18"/>
        <v>61737500</v>
      </c>
      <c r="AP43" s="39" t="s">
        <v>102</v>
      </c>
      <c r="AQ43" s="38" t="s">
        <v>109</v>
      </c>
      <c r="AR43" s="38" t="s">
        <v>83</v>
      </c>
      <c r="AS43" s="38" t="s">
        <v>83</v>
      </c>
      <c r="AT43" s="38" t="s">
        <v>83</v>
      </c>
      <c r="AU43" s="38" t="s">
        <v>111</v>
      </c>
      <c r="AV43" s="40"/>
      <c r="AW43" s="38"/>
      <c r="AX43" s="40"/>
      <c r="AY43" s="41" t="str">
        <f t="shared" si="24"/>
        <v>100-110</v>
      </c>
      <c r="AZ43" s="75"/>
      <c r="BA43" s="37"/>
      <c r="BB43" s="42"/>
      <c r="BC43" s="144"/>
      <c r="BD43" s="145"/>
    </row>
    <row r="44" spans="1:62">
      <c r="A44" s="39" t="s">
        <v>186</v>
      </c>
      <c r="B44" s="39" t="s">
        <v>53</v>
      </c>
      <c r="C44" s="39" t="s">
        <v>54</v>
      </c>
      <c r="D44" s="39">
        <f t="shared" si="0"/>
        <v>1470400</v>
      </c>
      <c r="E44" s="64">
        <f t="shared" si="1"/>
        <v>1383400</v>
      </c>
      <c r="F44" s="179">
        <f t="shared" si="17"/>
        <v>0.54214254734711576</v>
      </c>
      <c r="G44" s="39">
        <v>750000</v>
      </c>
      <c r="H44" s="57">
        <f>$BF$7*AM44</f>
        <v>250000</v>
      </c>
      <c r="I44" s="57">
        <f t="shared" si="21"/>
        <v>329400</v>
      </c>
      <c r="J44" s="57"/>
      <c r="K44" s="39">
        <f>1.08*200000</f>
        <v>216000</v>
      </c>
      <c r="L44" s="39">
        <f>1.08*50000</f>
        <v>54000</v>
      </c>
      <c r="M44" s="39"/>
      <c r="N44" s="58">
        <f>15000*1.08</f>
        <v>16200.000000000002</v>
      </c>
      <c r="O44" s="58">
        <f>20000*1.08</f>
        <v>21600</v>
      </c>
      <c r="P44" s="58"/>
      <c r="Q44" s="58"/>
      <c r="R44" s="65">
        <f>$BF$7*AL44*1.08</f>
        <v>21600</v>
      </c>
      <c r="S44" s="65">
        <f t="shared" si="22"/>
        <v>54000</v>
      </c>
      <c r="T44" s="68"/>
      <c r="U44" s="68"/>
      <c r="V44" s="65">
        <v>21600</v>
      </c>
      <c r="W44" s="65">
        <v>10800</v>
      </c>
      <c r="X44" s="65">
        <v>10800</v>
      </c>
      <c r="Y44" s="65">
        <v>10800</v>
      </c>
      <c r="Z44" s="59">
        <f t="shared" si="8"/>
        <v>75000</v>
      </c>
      <c r="AA44" s="59">
        <v>55000</v>
      </c>
      <c r="AB44" s="59">
        <v>10000</v>
      </c>
      <c r="AC44" s="59">
        <f>$BF$10*AL44</f>
        <v>20000</v>
      </c>
      <c r="AD44" s="59">
        <f>$BF$11*AL44</f>
        <v>0</v>
      </c>
      <c r="AE44" s="59">
        <f>$BF$12*AL44</f>
        <v>40000</v>
      </c>
      <c r="AF44" s="59">
        <f t="shared" si="12"/>
        <v>12000</v>
      </c>
      <c r="AG44" s="59">
        <f>$BF$13*AL44</f>
        <v>12000</v>
      </c>
      <c r="AH44" s="59">
        <f>$BF$11*AL44</f>
        <v>0</v>
      </c>
      <c r="AI44" s="59"/>
      <c r="AJ44" s="59" t="s">
        <v>130</v>
      </c>
      <c r="AK44" s="66">
        <f t="shared" si="23"/>
        <v>576</v>
      </c>
      <c r="AL44" s="37">
        <v>4</v>
      </c>
      <c r="AM44" s="37">
        <v>50</v>
      </c>
      <c r="AN44" s="38">
        <v>91</v>
      </c>
      <c r="AO44" s="70">
        <f t="shared" si="18"/>
        <v>63405833.333333328</v>
      </c>
      <c r="AP44" s="39" t="s">
        <v>103</v>
      </c>
      <c r="AQ44" s="38" t="s">
        <v>109</v>
      </c>
      <c r="AR44" s="38" t="s">
        <v>83</v>
      </c>
      <c r="AS44" s="38" t="s">
        <v>83</v>
      </c>
      <c r="AT44" s="38" t="s">
        <v>83</v>
      </c>
      <c r="AU44" s="38" t="s">
        <v>111</v>
      </c>
      <c r="AV44" s="40"/>
      <c r="AW44" s="38"/>
      <c r="AX44" s="40"/>
      <c r="AY44" s="41" t="str">
        <f t="shared" si="24"/>
        <v>100-110</v>
      </c>
      <c r="AZ44" s="75"/>
      <c r="BA44" s="37"/>
      <c r="BB44" s="42"/>
      <c r="BC44" s="144"/>
      <c r="BD44" s="145"/>
    </row>
    <row r="45" spans="1:62">
      <c r="A45" s="39" t="s">
        <v>186</v>
      </c>
      <c r="B45" s="39" t="s">
        <v>53</v>
      </c>
      <c r="C45" s="39" t="s">
        <v>92</v>
      </c>
      <c r="D45" s="39">
        <f t="shared" si="0"/>
        <v>1240600</v>
      </c>
      <c r="E45" s="64">
        <f t="shared" si="1"/>
        <v>1180600</v>
      </c>
      <c r="F45" s="179">
        <f t="shared" si="17"/>
        <v>0.63527020159241065</v>
      </c>
      <c r="G45" s="45">
        <v>750000</v>
      </c>
      <c r="H45" s="39">
        <f>$BH$7*AM45</f>
        <v>50000</v>
      </c>
      <c r="I45" s="57">
        <f t="shared" si="21"/>
        <v>326600</v>
      </c>
      <c r="J45" s="57"/>
      <c r="K45" s="39">
        <f>1.08*200000</f>
        <v>216000</v>
      </c>
      <c r="L45" s="39">
        <f>1.08*50000</f>
        <v>54000</v>
      </c>
      <c r="M45" s="39"/>
      <c r="N45" s="56">
        <v>15000</v>
      </c>
      <c r="O45" s="56">
        <v>20000</v>
      </c>
      <c r="P45" s="56"/>
      <c r="Q45" s="56"/>
      <c r="R45" s="39">
        <f>$BH$8*AL45*1.08</f>
        <v>21600</v>
      </c>
      <c r="S45" s="65">
        <f t="shared" si="22"/>
        <v>54000</v>
      </c>
      <c r="T45" s="68"/>
      <c r="U45" s="68"/>
      <c r="V45" s="39">
        <v>21600</v>
      </c>
      <c r="W45" s="39">
        <v>10800</v>
      </c>
      <c r="X45" s="39">
        <v>10800</v>
      </c>
      <c r="Y45" s="39">
        <v>10800</v>
      </c>
      <c r="Z45" s="59">
        <f t="shared" si="8"/>
        <v>30000</v>
      </c>
      <c r="AA45" s="71">
        <v>30000</v>
      </c>
      <c r="AB45" s="71">
        <v>20000</v>
      </c>
      <c r="AC45" s="71"/>
      <c r="AD45" s="59">
        <f>$BH$11*AL45</f>
        <v>0</v>
      </c>
      <c r="AE45" s="71"/>
      <c r="AF45" s="59">
        <f t="shared" si="12"/>
        <v>30000</v>
      </c>
      <c r="AG45" s="71">
        <v>30000</v>
      </c>
      <c r="AH45" s="59">
        <f>$BH$11*AL45</f>
        <v>0</v>
      </c>
      <c r="AI45" s="59"/>
      <c r="AJ45" s="59" t="s">
        <v>130</v>
      </c>
      <c r="AK45" s="66">
        <f t="shared" si="23"/>
        <v>576</v>
      </c>
      <c r="AL45" s="44">
        <v>4</v>
      </c>
      <c r="AM45" s="37">
        <v>50</v>
      </c>
      <c r="AN45" s="37">
        <v>91</v>
      </c>
      <c r="AO45" s="70">
        <f t="shared" si="18"/>
        <v>54110833.333333328</v>
      </c>
      <c r="AP45" s="39" t="s">
        <v>104</v>
      </c>
      <c r="AQ45" s="38" t="s">
        <v>109</v>
      </c>
      <c r="AR45" s="38" t="s">
        <v>83</v>
      </c>
      <c r="AS45" s="38" t="s">
        <v>83</v>
      </c>
      <c r="AT45" s="38" t="s">
        <v>83</v>
      </c>
      <c r="AU45" s="38" t="s">
        <v>111</v>
      </c>
      <c r="AV45" s="46">
        <v>19</v>
      </c>
      <c r="AW45" s="46">
        <v>16</v>
      </c>
      <c r="AX45" s="40">
        <f>E45*AW45</f>
        <v>18889600</v>
      </c>
      <c r="AY45" s="41" t="str">
        <f t="shared" si="24"/>
        <v>100-110</v>
      </c>
      <c r="AZ45" s="76"/>
      <c r="BA45" s="136"/>
      <c r="BB45" s="136"/>
      <c r="BC45" s="143"/>
      <c r="BD45" s="154"/>
      <c r="BE45" s="49"/>
      <c r="BF45" s="49"/>
      <c r="BG45" s="49"/>
      <c r="BH45" s="49"/>
      <c r="BI45" s="49"/>
      <c r="BJ45" s="49"/>
    </row>
    <row r="46" spans="1:62">
      <c r="A46" s="39" t="s">
        <v>186</v>
      </c>
      <c r="B46" s="39" t="s">
        <v>53</v>
      </c>
      <c r="C46" s="39" t="s">
        <v>92</v>
      </c>
      <c r="D46" s="39">
        <f t="shared" si="0"/>
        <v>1240600</v>
      </c>
      <c r="E46" s="64">
        <f t="shared" si="1"/>
        <v>1180600</v>
      </c>
      <c r="F46" s="179">
        <f t="shared" si="17"/>
        <v>0.63527020159241065</v>
      </c>
      <c r="G46" s="45">
        <v>750000</v>
      </c>
      <c r="H46" s="39">
        <f>$BH$7*AM46</f>
        <v>50000</v>
      </c>
      <c r="I46" s="57">
        <f t="shared" si="21"/>
        <v>326600</v>
      </c>
      <c r="J46" s="57"/>
      <c r="K46" s="39">
        <f>1.08*200000</f>
        <v>216000</v>
      </c>
      <c r="L46" s="39">
        <f>1.08*50000</f>
        <v>54000</v>
      </c>
      <c r="M46" s="39"/>
      <c r="N46" s="56">
        <v>15000</v>
      </c>
      <c r="O46" s="56">
        <v>20000</v>
      </c>
      <c r="P46" s="56"/>
      <c r="Q46" s="56"/>
      <c r="R46" s="39">
        <f>$BH$8*AL46*1.08</f>
        <v>21600</v>
      </c>
      <c r="S46" s="65">
        <f t="shared" si="22"/>
        <v>54000</v>
      </c>
      <c r="T46" s="68"/>
      <c r="U46" s="68"/>
      <c r="V46" s="39">
        <v>21600</v>
      </c>
      <c r="W46" s="39">
        <v>10800</v>
      </c>
      <c r="X46" s="39">
        <v>10800</v>
      </c>
      <c r="Y46" s="39">
        <v>10800</v>
      </c>
      <c r="Z46" s="59">
        <f t="shared" si="8"/>
        <v>30000</v>
      </c>
      <c r="AA46" s="71">
        <v>30000</v>
      </c>
      <c r="AB46" s="71">
        <v>20000</v>
      </c>
      <c r="AC46" s="71"/>
      <c r="AD46" s="59">
        <f>$BH$11*AL46</f>
        <v>0</v>
      </c>
      <c r="AE46" s="71"/>
      <c r="AF46" s="59">
        <f t="shared" si="12"/>
        <v>30000</v>
      </c>
      <c r="AG46" s="71">
        <v>30000</v>
      </c>
      <c r="AH46" s="59">
        <f>$BH$11*AL46</f>
        <v>0</v>
      </c>
      <c r="AI46" s="59"/>
      <c r="AJ46" s="59" t="s">
        <v>130</v>
      </c>
      <c r="AK46" s="66">
        <f t="shared" si="23"/>
        <v>576</v>
      </c>
      <c r="AL46" s="44">
        <v>4</v>
      </c>
      <c r="AM46" s="37">
        <v>50</v>
      </c>
      <c r="AN46" s="37">
        <v>91</v>
      </c>
      <c r="AO46" s="70">
        <f t="shared" si="18"/>
        <v>54110833.333333328</v>
      </c>
      <c r="AP46" s="39" t="s">
        <v>123</v>
      </c>
      <c r="AQ46" s="38" t="s">
        <v>109</v>
      </c>
      <c r="AR46" s="38" t="s">
        <v>83</v>
      </c>
      <c r="AS46" s="38" t="s">
        <v>83</v>
      </c>
      <c r="AT46" s="38" t="s">
        <v>83</v>
      </c>
      <c r="AU46" s="38" t="s">
        <v>111</v>
      </c>
      <c r="AV46" s="46"/>
      <c r="AW46" s="46"/>
      <c r="AX46" s="40"/>
      <c r="AY46" s="41" t="str">
        <f t="shared" si="24"/>
        <v>100-110</v>
      </c>
      <c r="AZ46" s="76"/>
      <c r="BA46" s="136"/>
      <c r="BB46" s="136"/>
      <c r="BC46" s="143"/>
      <c r="BD46" s="154"/>
      <c r="BE46" s="49"/>
      <c r="BF46" s="49"/>
      <c r="BG46" s="49"/>
      <c r="BH46" s="49"/>
      <c r="BI46" s="49"/>
      <c r="BJ46" s="49"/>
    </row>
    <row r="47" spans="1:62">
      <c r="A47" s="39" t="s">
        <v>186</v>
      </c>
      <c r="B47" s="39" t="s">
        <v>53</v>
      </c>
      <c r="C47" s="39" t="s">
        <v>92</v>
      </c>
      <c r="D47" s="39">
        <f t="shared" si="0"/>
        <v>1240600</v>
      </c>
      <c r="E47" s="64">
        <f t="shared" si="1"/>
        <v>1180600</v>
      </c>
      <c r="F47" s="179">
        <f t="shared" si="17"/>
        <v>0.63527020159241065</v>
      </c>
      <c r="G47" s="45">
        <v>750000</v>
      </c>
      <c r="H47" s="39">
        <f>$BH$7*AM47</f>
        <v>50000</v>
      </c>
      <c r="I47" s="57">
        <f t="shared" si="21"/>
        <v>326600</v>
      </c>
      <c r="J47" s="57"/>
      <c r="K47" s="39">
        <f>1.08*200000</f>
        <v>216000</v>
      </c>
      <c r="L47" s="39">
        <f>1.08*50000</f>
        <v>54000</v>
      </c>
      <c r="M47" s="39"/>
      <c r="N47" s="56">
        <v>15000</v>
      </c>
      <c r="O47" s="56">
        <v>20000</v>
      </c>
      <c r="P47" s="56"/>
      <c r="Q47" s="56"/>
      <c r="R47" s="39">
        <f>$BH$8*AL47*1.08</f>
        <v>21600</v>
      </c>
      <c r="S47" s="65">
        <f t="shared" si="22"/>
        <v>54000</v>
      </c>
      <c r="T47" s="68"/>
      <c r="U47" s="68"/>
      <c r="V47" s="39">
        <v>21600</v>
      </c>
      <c r="W47" s="39">
        <v>10800</v>
      </c>
      <c r="X47" s="39">
        <v>10800</v>
      </c>
      <c r="Y47" s="39">
        <v>10800</v>
      </c>
      <c r="Z47" s="59">
        <f t="shared" si="8"/>
        <v>30000</v>
      </c>
      <c r="AA47" s="71">
        <v>30000</v>
      </c>
      <c r="AB47" s="71">
        <v>20000</v>
      </c>
      <c r="AC47" s="71"/>
      <c r="AD47" s="59">
        <f>$BH$11*AL47</f>
        <v>0</v>
      </c>
      <c r="AE47" s="71"/>
      <c r="AF47" s="59">
        <f t="shared" si="12"/>
        <v>30000</v>
      </c>
      <c r="AG47" s="71">
        <v>30000</v>
      </c>
      <c r="AH47" s="59">
        <f>$BH$11*AL47</f>
        <v>0</v>
      </c>
      <c r="AI47" s="59"/>
      <c r="AJ47" s="59" t="s">
        <v>130</v>
      </c>
      <c r="AK47" s="66">
        <f t="shared" si="23"/>
        <v>576</v>
      </c>
      <c r="AL47" s="44">
        <v>4</v>
      </c>
      <c r="AM47" s="37">
        <v>50</v>
      </c>
      <c r="AN47" s="37">
        <v>91</v>
      </c>
      <c r="AO47" s="70">
        <f t="shared" si="18"/>
        <v>54110833.333333328</v>
      </c>
      <c r="AP47" s="39" t="s">
        <v>105</v>
      </c>
      <c r="AQ47" s="38" t="s">
        <v>109</v>
      </c>
      <c r="AR47" s="38" t="s">
        <v>83</v>
      </c>
      <c r="AS47" s="38" t="s">
        <v>83</v>
      </c>
      <c r="AT47" s="38" t="s">
        <v>83</v>
      </c>
      <c r="AU47" s="38" t="s">
        <v>111</v>
      </c>
      <c r="AV47" s="46"/>
      <c r="AW47" s="46"/>
      <c r="AX47" s="40"/>
      <c r="AY47" s="41" t="str">
        <f t="shared" si="24"/>
        <v>100-110</v>
      </c>
      <c r="AZ47" s="76"/>
      <c r="BA47" s="136"/>
      <c r="BB47" s="136"/>
      <c r="BC47" s="143"/>
      <c r="BD47" s="154"/>
      <c r="BE47" s="49"/>
      <c r="BF47" s="49"/>
      <c r="BG47" s="49"/>
      <c r="BH47" s="49"/>
      <c r="BI47" s="49"/>
      <c r="BJ47" s="49"/>
    </row>
    <row r="48" spans="1:62">
      <c r="A48" s="39" t="s">
        <v>186</v>
      </c>
      <c r="B48" s="39" t="s">
        <v>53</v>
      </c>
      <c r="C48" s="39" t="s">
        <v>54</v>
      </c>
      <c r="D48" s="39">
        <f t="shared" si="0"/>
        <v>1470400</v>
      </c>
      <c r="E48" s="64">
        <f t="shared" si="1"/>
        <v>1383400</v>
      </c>
      <c r="F48" s="179">
        <f t="shared" si="17"/>
        <v>0.54214254734711576</v>
      </c>
      <c r="G48" s="39">
        <v>750000</v>
      </c>
      <c r="H48" s="57">
        <f>$BF$7*AM48</f>
        <v>250000</v>
      </c>
      <c r="I48" s="57">
        <f t="shared" si="21"/>
        <v>329400</v>
      </c>
      <c r="J48" s="58"/>
      <c r="K48" s="56">
        <f>1.08*200000</f>
        <v>216000</v>
      </c>
      <c r="L48" s="56">
        <f>1.08*50000</f>
        <v>54000</v>
      </c>
      <c r="M48" s="56"/>
      <c r="N48" s="58">
        <f>15000*1.08</f>
        <v>16200.000000000002</v>
      </c>
      <c r="O48" s="58">
        <f>20000*1.08</f>
        <v>21600</v>
      </c>
      <c r="P48" s="58"/>
      <c r="Q48" s="58"/>
      <c r="R48" s="65">
        <f>$BF$7*AL48*1.08</f>
        <v>21600</v>
      </c>
      <c r="S48" s="65">
        <f t="shared" si="22"/>
        <v>54000</v>
      </c>
      <c r="T48" s="68"/>
      <c r="U48" s="68"/>
      <c r="V48" s="65">
        <v>21600</v>
      </c>
      <c r="W48" s="65">
        <v>10800</v>
      </c>
      <c r="X48" s="65">
        <v>10800</v>
      </c>
      <c r="Y48" s="65">
        <v>10800</v>
      </c>
      <c r="Z48" s="59">
        <f t="shared" si="8"/>
        <v>75000</v>
      </c>
      <c r="AA48" s="59">
        <v>55000</v>
      </c>
      <c r="AB48" s="59">
        <v>10000</v>
      </c>
      <c r="AC48" s="59">
        <f>$BF$10*AL48</f>
        <v>20000</v>
      </c>
      <c r="AD48" s="59">
        <f>$BF$11*AL48</f>
        <v>0</v>
      </c>
      <c r="AE48" s="59">
        <f>$BF$12*AL48</f>
        <v>40000</v>
      </c>
      <c r="AF48" s="59">
        <f t="shared" si="12"/>
        <v>12000</v>
      </c>
      <c r="AG48" s="59">
        <f>$BF$13*AL48</f>
        <v>12000</v>
      </c>
      <c r="AH48" s="59">
        <f>$BF$11*AL48</f>
        <v>0</v>
      </c>
      <c r="AI48" s="59"/>
      <c r="AJ48" s="59" t="s">
        <v>130</v>
      </c>
      <c r="AK48" s="66">
        <f t="shared" si="23"/>
        <v>576</v>
      </c>
      <c r="AL48" s="37">
        <v>4</v>
      </c>
      <c r="AM48" s="37">
        <v>50</v>
      </c>
      <c r="AN48" s="38">
        <v>91</v>
      </c>
      <c r="AO48" s="70">
        <f t="shared" si="18"/>
        <v>63405833.333333328</v>
      </c>
      <c r="AP48" s="56" t="s">
        <v>104</v>
      </c>
      <c r="AQ48" s="38" t="s">
        <v>109</v>
      </c>
      <c r="AR48" s="38" t="s">
        <v>83</v>
      </c>
      <c r="AS48" s="38" t="s">
        <v>83</v>
      </c>
      <c r="AT48" s="38" t="s">
        <v>83</v>
      </c>
      <c r="AU48" s="38" t="s">
        <v>111</v>
      </c>
      <c r="AV48" s="40"/>
      <c r="AW48" s="38"/>
      <c r="AX48" s="40"/>
      <c r="AY48" s="41" t="str">
        <f t="shared" si="24"/>
        <v>100-110</v>
      </c>
      <c r="AZ48" s="75"/>
      <c r="BA48" s="37"/>
      <c r="BB48" s="42"/>
      <c r="BC48" s="144"/>
      <c r="BD48" s="145"/>
    </row>
    <row r="49" spans="1:62">
      <c r="A49" s="39" t="s">
        <v>186</v>
      </c>
      <c r="B49" s="39" t="s">
        <v>53</v>
      </c>
      <c r="C49" s="39" t="s">
        <v>92</v>
      </c>
      <c r="D49" s="39">
        <f t="shared" si="0"/>
        <v>1225800</v>
      </c>
      <c r="E49" s="64">
        <f t="shared" si="1"/>
        <v>1165800</v>
      </c>
      <c r="F49" s="179">
        <f t="shared" si="17"/>
        <v>0.68622405215302795</v>
      </c>
      <c r="G49" s="45">
        <v>800000</v>
      </c>
      <c r="H49" s="39">
        <f>$BH$7*AM49</f>
        <v>50000</v>
      </c>
      <c r="I49" s="57">
        <f t="shared" si="21"/>
        <v>261800</v>
      </c>
      <c r="J49" s="57"/>
      <c r="K49" s="39">
        <f>150000*1.08</f>
        <v>162000</v>
      </c>
      <c r="L49" s="39">
        <f>40000*1.08</f>
        <v>43200</v>
      </c>
      <c r="M49" s="39"/>
      <c r="N49" s="56">
        <v>15000</v>
      </c>
      <c r="O49" s="56">
        <v>20000</v>
      </c>
      <c r="P49" s="56"/>
      <c r="Q49" s="56"/>
      <c r="R49" s="39">
        <f>$BH$8*AL49*1.08</f>
        <v>21600</v>
      </c>
      <c r="S49" s="65">
        <f t="shared" si="22"/>
        <v>54000</v>
      </c>
      <c r="T49" s="68"/>
      <c r="U49" s="68"/>
      <c r="V49" s="39">
        <v>21600</v>
      </c>
      <c r="W49" s="39">
        <v>10800</v>
      </c>
      <c r="X49" s="39">
        <v>10800</v>
      </c>
      <c r="Y49" s="39">
        <v>10800</v>
      </c>
      <c r="Z49" s="59">
        <f t="shared" si="8"/>
        <v>30000</v>
      </c>
      <c r="AA49" s="71">
        <v>30000</v>
      </c>
      <c r="AB49" s="71">
        <v>20000</v>
      </c>
      <c r="AC49" s="71"/>
      <c r="AD49" s="59">
        <f>$BH$11*AL49</f>
        <v>0</v>
      </c>
      <c r="AE49" s="71"/>
      <c r="AF49" s="59">
        <f t="shared" si="12"/>
        <v>30000</v>
      </c>
      <c r="AG49" s="71">
        <v>30000</v>
      </c>
      <c r="AH49" s="59">
        <f>$BH$11*AL49</f>
        <v>0</v>
      </c>
      <c r="AI49" s="59"/>
      <c r="AJ49" s="59" t="s">
        <v>130</v>
      </c>
      <c r="AK49" s="66">
        <f t="shared" si="23"/>
        <v>576</v>
      </c>
      <c r="AL49" s="44">
        <v>4</v>
      </c>
      <c r="AM49" s="37">
        <v>50</v>
      </c>
      <c r="AN49" s="37">
        <v>91</v>
      </c>
      <c r="AO49" s="70">
        <f t="shared" si="18"/>
        <v>53432500</v>
      </c>
      <c r="AP49" s="39" t="s">
        <v>124</v>
      </c>
      <c r="AQ49" s="38" t="s">
        <v>109</v>
      </c>
      <c r="AR49" s="38" t="s">
        <v>83</v>
      </c>
      <c r="AS49" s="38" t="s">
        <v>83</v>
      </c>
      <c r="AT49" s="38" t="s">
        <v>83</v>
      </c>
      <c r="AU49" s="38" t="s">
        <v>111</v>
      </c>
      <c r="AV49" s="46"/>
      <c r="AW49" s="46"/>
      <c r="AX49" s="40"/>
      <c r="AY49" s="41" t="str">
        <f t="shared" si="24"/>
        <v>100-110</v>
      </c>
      <c r="AZ49" s="76"/>
      <c r="BA49" s="136"/>
      <c r="BB49" s="136"/>
      <c r="BC49" s="143"/>
      <c r="BD49" s="154"/>
      <c r="BE49" s="49"/>
      <c r="BF49" s="49"/>
      <c r="BG49" s="49"/>
      <c r="BH49" s="49"/>
      <c r="BI49" s="49"/>
      <c r="BJ49" s="49"/>
    </row>
    <row r="50" spans="1:62">
      <c r="A50" s="39" t="s">
        <v>186</v>
      </c>
      <c r="B50" s="39" t="s">
        <v>53</v>
      </c>
      <c r="C50" s="39" t="s">
        <v>92</v>
      </c>
      <c r="D50" s="39">
        <f t="shared" si="0"/>
        <v>1225800</v>
      </c>
      <c r="E50" s="64">
        <f t="shared" si="1"/>
        <v>1165800</v>
      </c>
      <c r="F50" s="179">
        <f t="shared" si="17"/>
        <v>0.68622405215302795</v>
      </c>
      <c r="G50" s="45">
        <v>800000</v>
      </c>
      <c r="H50" s="39">
        <f>$BH$7*AM50</f>
        <v>50000</v>
      </c>
      <c r="I50" s="57">
        <f t="shared" si="21"/>
        <v>261800</v>
      </c>
      <c r="J50" s="57"/>
      <c r="K50" s="39">
        <f>150000*1.08</f>
        <v>162000</v>
      </c>
      <c r="L50" s="39">
        <f>40000*1.08</f>
        <v>43200</v>
      </c>
      <c r="M50" s="39"/>
      <c r="N50" s="56">
        <v>15000</v>
      </c>
      <c r="O50" s="56">
        <v>20000</v>
      </c>
      <c r="P50" s="56"/>
      <c r="Q50" s="56"/>
      <c r="R50" s="39">
        <f>$BH$8*AL50*1.08</f>
        <v>21600</v>
      </c>
      <c r="S50" s="65">
        <f t="shared" si="22"/>
        <v>54000</v>
      </c>
      <c r="T50" s="68"/>
      <c r="U50" s="68"/>
      <c r="V50" s="39">
        <v>21600</v>
      </c>
      <c r="W50" s="39">
        <v>10800</v>
      </c>
      <c r="X50" s="39">
        <v>10800</v>
      </c>
      <c r="Y50" s="39">
        <v>10800</v>
      </c>
      <c r="Z50" s="59">
        <f t="shared" si="8"/>
        <v>30000</v>
      </c>
      <c r="AA50" s="71">
        <v>30000</v>
      </c>
      <c r="AB50" s="71">
        <v>20000</v>
      </c>
      <c r="AC50" s="71"/>
      <c r="AD50" s="59">
        <f>$BH$11*AL50</f>
        <v>0</v>
      </c>
      <c r="AE50" s="71"/>
      <c r="AF50" s="59">
        <f t="shared" si="12"/>
        <v>30000</v>
      </c>
      <c r="AG50" s="71">
        <v>30000</v>
      </c>
      <c r="AH50" s="59">
        <f>$BH$11*AL50</f>
        <v>0</v>
      </c>
      <c r="AI50" s="59"/>
      <c r="AJ50" s="59" t="s">
        <v>130</v>
      </c>
      <c r="AK50" s="66">
        <f t="shared" si="23"/>
        <v>576</v>
      </c>
      <c r="AL50" s="44">
        <v>4</v>
      </c>
      <c r="AM50" s="37">
        <v>50</v>
      </c>
      <c r="AN50" s="37">
        <v>91</v>
      </c>
      <c r="AO50" s="70">
        <f t="shared" si="18"/>
        <v>53432500</v>
      </c>
      <c r="AP50" s="39" t="s">
        <v>125</v>
      </c>
      <c r="AQ50" s="38" t="s">
        <v>109</v>
      </c>
      <c r="AR50" s="38" t="s">
        <v>83</v>
      </c>
      <c r="AS50" s="38" t="s">
        <v>83</v>
      </c>
      <c r="AT50" s="38" t="s">
        <v>83</v>
      </c>
      <c r="AU50" s="38" t="s">
        <v>111</v>
      </c>
      <c r="AV50" s="46"/>
      <c r="AW50" s="46"/>
      <c r="AX50" s="40"/>
      <c r="AY50" s="41" t="str">
        <f t="shared" si="24"/>
        <v>100-110</v>
      </c>
      <c r="AZ50" s="76"/>
      <c r="BA50" s="136"/>
      <c r="BB50" s="136"/>
      <c r="BC50" s="143"/>
      <c r="BD50" s="154"/>
      <c r="BE50" s="49"/>
      <c r="BF50" s="49"/>
      <c r="BG50" s="49"/>
      <c r="BH50" s="49"/>
      <c r="BI50" s="49"/>
      <c r="BJ50" s="49"/>
    </row>
    <row r="51" spans="1:62">
      <c r="A51" s="39" t="s">
        <v>186</v>
      </c>
      <c r="B51" s="39" t="s">
        <v>53</v>
      </c>
      <c r="C51" s="39" t="s">
        <v>92</v>
      </c>
      <c r="D51" s="39">
        <f t="shared" si="0"/>
        <v>1225800</v>
      </c>
      <c r="E51" s="64">
        <f t="shared" si="1"/>
        <v>1165800</v>
      </c>
      <c r="F51" s="179">
        <f t="shared" si="17"/>
        <v>0.68622405215302795</v>
      </c>
      <c r="G51" s="45">
        <v>800000</v>
      </c>
      <c r="H51" s="39">
        <f>$BH$7*AM51</f>
        <v>50000</v>
      </c>
      <c r="I51" s="57">
        <f t="shared" si="21"/>
        <v>261800</v>
      </c>
      <c r="J51" s="57"/>
      <c r="K51" s="39">
        <f>150000*1.08</f>
        <v>162000</v>
      </c>
      <c r="L51" s="39">
        <f>40000*1.08</f>
        <v>43200</v>
      </c>
      <c r="M51" s="39"/>
      <c r="N51" s="56">
        <v>15000</v>
      </c>
      <c r="O51" s="56">
        <v>20000</v>
      </c>
      <c r="P51" s="56"/>
      <c r="Q51" s="56"/>
      <c r="R51" s="39">
        <f>$BH$8*AL51*1.08</f>
        <v>21600</v>
      </c>
      <c r="S51" s="65">
        <f t="shared" si="22"/>
        <v>54000</v>
      </c>
      <c r="T51" s="68"/>
      <c r="U51" s="68"/>
      <c r="V51" s="39">
        <v>21600</v>
      </c>
      <c r="W51" s="39">
        <v>10800</v>
      </c>
      <c r="X51" s="39">
        <v>10800</v>
      </c>
      <c r="Y51" s="39">
        <v>10800</v>
      </c>
      <c r="Z51" s="59">
        <f t="shared" si="8"/>
        <v>30000</v>
      </c>
      <c r="AA51" s="71">
        <v>30000</v>
      </c>
      <c r="AB51" s="71">
        <v>20000</v>
      </c>
      <c r="AC51" s="71"/>
      <c r="AD51" s="59">
        <f>$BH$11*AL51</f>
        <v>0</v>
      </c>
      <c r="AE51" s="71"/>
      <c r="AF51" s="59">
        <f t="shared" si="12"/>
        <v>30000</v>
      </c>
      <c r="AG51" s="71">
        <v>30000</v>
      </c>
      <c r="AH51" s="59">
        <f>$BH$11*AL51</f>
        <v>0</v>
      </c>
      <c r="AI51" s="59"/>
      <c r="AJ51" s="59" t="s">
        <v>130</v>
      </c>
      <c r="AK51" s="66">
        <f t="shared" si="23"/>
        <v>576</v>
      </c>
      <c r="AL51" s="44">
        <v>4</v>
      </c>
      <c r="AM51" s="37">
        <v>50</v>
      </c>
      <c r="AN51" s="37">
        <v>91</v>
      </c>
      <c r="AO51" s="70">
        <f t="shared" si="18"/>
        <v>53432500</v>
      </c>
      <c r="AP51" s="39" t="s">
        <v>102</v>
      </c>
      <c r="AQ51" s="38" t="s">
        <v>109</v>
      </c>
      <c r="AR51" s="38" t="s">
        <v>83</v>
      </c>
      <c r="AS51" s="38" t="s">
        <v>83</v>
      </c>
      <c r="AT51" s="38" t="s">
        <v>83</v>
      </c>
      <c r="AU51" s="38" t="s">
        <v>111</v>
      </c>
      <c r="AV51" s="46"/>
      <c r="AW51" s="46"/>
      <c r="AX51" s="40"/>
      <c r="AY51" s="41" t="str">
        <f t="shared" si="24"/>
        <v>100-110</v>
      </c>
      <c r="AZ51" s="76"/>
      <c r="BA51" s="136"/>
      <c r="BB51" s="136"/>
      <c r="BC51" s="143"/>
      <c r="BD51" s="154"/>
      <c r="BE51" s="49"/>
      <c r="BF51" s="49"/>
      <c r="BG51" s="49"/>
      <c r="BH51" s="49"/>
      <c r="BI51" s="49"/>
      <c r="BJ51" s="49"/>
    </row>
    <row r="52" spans="1:62">
      <c r="A52" s="39" t="s">
        <v>186</v>
      </c>
      <c r="B52" s="39" t="s">
        <v>53</v>
      </c>
      <c r="C52" s="39" t="s">
        <v>54</v>
      </c>
      <c r="D52" s="39">
        <f t="shared" si="0"/>
        <v>1470400</v>
      </c>
      <c r="E52" s="64">
        <f t="shared" si="1"/>
        <v>1383400</v>
      </c>
      <c r="F52" s="179">
        <f t="shared" si="17"/>
        <v>0.54214254734711576</v>
      </c>
      <c r="G52" s="39">
        <v>750000</v>
      </c>
      <c r="H52" s="57">
        <f>$BF$7*AM52</f>
        <v>250000</v>
      </c>
      <c r="I52" s="57">
        <f t="shared" si="21"/>
        <v>329400</v>
      </c>
      <c r="J52" s="57"/>
      <c r="K52" s="39">
        <f>1.08*200000</f>
        <v>216000</v>
      </c>
      <c r="L52" s="39">
        <f>1.08*50000</f>
        <v>54000</v>
      </c>
      <c r="M52" s="39"/>
      <c r="N52" s="58">
        <f>15000*1.08</f>
        <v>16200.000000000002</v>
      </c>
      <c r="O52" s="58">
        <f>20000*1.08</f>
        <v>21600</v>
      </c>
      <c r="P52" s="58"/>
      <c r="Q52" s="58"/>
      <c r="R52" s="65">
        <f>$BF$7*AL52*1.08</f>
        <v>21600</v>
      </c>
      <c r="S52" s="65">
        <f t="shared" si="22"/>
        <v>54000</v>
      </c>
      <c r="T52" s="68"/>
      <c r="U52" s="68"/>
      <c r="V52" s="65">
        <v>21600</v>
      </c>
      <c r="W52" s="65">
        <v>10800</v>
      </c>
      <c r="X52" s="65">
        <v>10800</v>
      </c>
      <c r="Y52" s="65">
        <v>10800</v>
      </c>
      <c r="Z52" s="59">
        <f t="shared" si="8"/>
        <v>75000</v>
      </c>
      <c r="AA52" s="59">
        <v>55000</v>
      </c>
      <c r="AB52" s="59">
        <v>10000</v>
      </c>
      <c r="AC52" s="59">
        <f>$BF$10*AL52</f>
        <v>20000</v>
      </c>
      <c r="AD52" s="59">
        <f>$BF$11*AL52</f>
        <v>0</v>
      </c>
      <c r="AE52" s="59">
        <f>$BF$12*AL52</f>
        <v>40000</v>
      </c>
      <c r="AF52" s="59">
        <f t="shared" si="12"/>
        <v>12000</v>
      </c>
      <c r="AG52" s="59">
        <f>$BF$13*AL52</f>
        <v>12000</v>
      </c>
      <c r="AH52" s="59">
        <f>$BF$11*AL52</f>
        <v>0</v>
      </c>
      <c r="AI52" s="59"/>
      <c r="AJ52" s="59" t="s">
        <v>130</v>
      </c>
      <c r="AK52" s="66">
        <f t="shared" si="23"/>
        <v>576</v>
      </c>
      <c r="AL52" s="37">
        <v>4</v>
      </c>
      <c r="AM52" s="37">
        <v>50</v>
      </c>
      <c r="AN52" s="38">
        <v>91</v>
      </c>
      <c r="AO52" s="70">
        <f t="shared" si="18"/>
        <v>63405833.333333328</v>
      </c>
      <c r="AP52" s="39" t="s">
        <v>105</v>
      </c>
      <c r="AQ52" s="38" t="s">
        <v>109</v>
      </c>
      <c r="AR52" s="38" t="s">
        <v>83</v>
      </c>
      <c r="AS52" s="38" t="s">
        <v>83</v>
      </c>
      <c r="AT52" s="38" t="s">
        <v>83</v>
      </c>
      <c r="AU52" s="38" t="s">
        <v>111</v>
      </c>
      <c r="AV52" s="40"/>
      <c r="AW52" s="38"/>
      <c r="AX52" s="40"/>
      <c r="AY52" s="41" t="str">
        <f t="shared" si="24"/>
        <v>100-110</v>
      </c>
      <c r="AZ52" s="75"/>
      <c r="BA52" s="37"/>
      <c r="BB52" s="42"/>
      <c r="BC52" s="144"/>
      <c r="BD52" s="145"/>
    </row>
    <row r="53" spans="1:62">
      <c r="A53" s="39" t="s">
        <v>186</v>
      </c>
      <c r="B53" s="39" t="s">
        <v>53</v>
      </c>
      <c r="C53" s="39" t="s">
        <v>54</v>
      </c>
      <c r="D53" s="39">
        <f t="shared" si="0"/>
        <v>1484000</v>
      </c>
      <c r="E53" s="64">
        <f t="shared" si="1"/>
        <v>1397000</v>
      </c>
      <c r="F53" s="179">
        <f t="shared" si="17"/>
        <v>0.60844667143879738</v>
      </c>
      <c r="G53" s="39">
        <v>850000</v>
      </c>
      <c r="H53" s="57">
        <f>$BF$7*AM53</f>
        <v>250000</v>
      </c>
      <c r="I53" s="57">
        <f t="shared" si="21"/>
        <v>243000</v>
      </c>
      <c r="J53" s="57"/>
      <c r="K53" s="39">
        <f>1.08*140000</f>
        <v>151200</v>
      </c>
      <c r="L53" s="39">
        <f>1.08*30000</f>
        <v>32400.000000000004</v>
      </c>
      <c r="M53" s="39"/>
      <c r="N53" s="58">
        <f>15000*1.08</f>
        <v>16200.000000000002</v>
      </c>
      <c r="O53" s="58">
        <f>20000*1.08</f>
        <v>21600</v>
      </c>
      <c r="P53" s="58"/>
      <c r="Q53" s="58"/>
      <c r="R53" s="65">
        <f>$BF$7*AL53*1.08</f>
        <v>21600</v>
      </c>
      <c r="S53" s="65">
        <f t="shared" si="22"/>
        <v>54000</v>
      </c>
      <c r="T53" s="68"/>
      <c r="U53" s="68"/>
      <c r="V53" s="65">
        <v>21600</v>
      </c>
      <c r="W53" s="65">
        <v>10800</v>
      </c>
      <c r="X53" s="65">
        <v>10800</v>
      </c>
      <c r="Y53" s="65">
        <v>10800</v>
      </c>
      <c r="Z53" s="59">
        <f t="shared" si="8"/>
        <v>75000</v>
      </c>
      <c r="AA53" s="59">
        <v>55000</v>
      </c>
      <c r="AB53" s="59">
        <v>10000</v>
      </c>
      <c r="AC53" s="59">
        <f>$BF$10*AL53</f>
        <v>20000</v>
      </c>
      <c r="AD53" s="59">
        <f>$BF$11*AL53</f>
        <v>0</v>
      </c>
      <c r="AE53" s="59">
        <f>$BF$12*AL53</f>
        <v>40000</v>
      </c>
      <c r="AF53" s="59">
        <f t="shared" si="12"/>
        <v>12000</v>
      </c>
      <c r="AG53" s="59">
        <f>$BF$13*AL53</f>
        <v>12000</v>
      </c>
      <c r="AH53" s="59">
        <f>$BF$11*AL53</f>
        <v>0</v>
      </c>
      <c r="AI53" s="59"/>
      <c r="AJ53" s="59" t="s">
        <v>130</v>
      </c>
      <c r="AK53" s="66">
        <f t="shared" si="23"/>
        <v>576</v>
      </c>
      <c r="AL53" s="37">
        <v>4</v>
      </c>
      <c r="AM53" s="37">
        <v>50</v>
      </c>
      <c r="AN53" s="38">
        <v>91</v>
      </c>
      <c r="AO53" s="70">
        <f t="shared" si="18"/>
        <v>64029166.666666664</v>
      </c>
      <c r="AP53" s="39" t="s">
        <v>102</v>
      </c>
      <c r="AQ53" s="38" t="s">
        <v>109</v>
      </c>
      <c r="AR53" s="38" t="s">
        <v>83</v>
      </c>
      <c r="AS53" s="38" t="s">
        <v>83</v>
      </c>
      <c r="AT53" s="38" t="s">
        <v>83</v>
      </c>
      <c r="AU53" s="38" t="s">
        <v>111</v>
      </c>
      <c r="AV53" s="40"/>
      <c r="AW53" s="38"/>
      <c r="AX53" s="40"/>
      <c r="AY53" s="41" t="str">
        <f t="shared" si="24"/>
        <v>100-110</v>
      </c>
      <c r="AZ53" s="75"/>
      <c r="BA53" s="37"/>
      <c r="BB53" s="42"/>
      <c r="BC53" s="144"/>
      <c r="BD53" s="145"/>
    </row>
    <row r="54" spans="1:62" ht="75">
      <c r="A54" s="39" t="s">
        <v>186</v>
      </c>
      <c r="B54" s="39" t="s">
        <v>53</v>
      </c>
      <c r="C54" s="39" t="s">
        <v>90</v>
      </c>
      <c r="D54" s="39" t="s">
        <v>116</v>
      </c>
      <c r="E54" s="39" t="s">
        <v>116</v>
      </c>
      <c r="F54" s="179" t="e">
        <f t="shared" si="17"/>
        <v>#VALUE!</v>
      </c>
      <c r="G54" s="39">
        <v>550000</v>
      </c>
      <c r="H54" s="57">
        <f t="shared" ref="H54:H59" si="25">$BG$7*AM54</f>
        <v>150000</v>
      </c>
      <c r="I54" s="57">
        <f t="shared" si="21"/>
        <v>0</v>
      </c>
      <c r="J54" s="39"/>
      <c r="K54" s="39" t="s">
        <v>116</v>
      </c>
      <c r="L54" s="39" t="s">
        <v>116</v>
      </c>
      <c r="M54" s="39" t="s">
        <v>116</v>
      </c>
      <c r="N54" s="39" t="s">
        <v>116</v>
      </c>
      <c r="O54" s="39" t="s">
        <v>116</v>
      </c>
      <c r="P54" s="39"/>
      <c r="Q54" s="39"/>
      <c r="R54" s="39" t="s">
        <v>116</v>
      </c>
      <c r="S54" s="65">
        <f t="shared" si="22"/>
        <v>0</v>
      </c>
      <c r="T54" s="67"/>
      <c r="U54" s="67"/>
      <c r="V54" s="39" t="s">
        <v>116</v>
      </c>
      <c r="W54" s="39" t="s">
        <v>116</v>
      </c>
      <c r="X54" s="39" t="s">
        <v>116</v>
      </c>
      <c r="Y54" s="39" t="s">
        <v>116</v>
      </c>
      <c r="Z54" s="60" t="s">
        <v>116</v>
      </c>
      <c r="AA54" s="60" t="s">
        <v>116</v>
      </c>
      <c r="AB54" s="60" t="s">
        <v>116</v>
      </c>
      <c r="AC54" s="60" t="s">
        <v>116</v>
      </c>
      <c r="AD54" s="60" t="s">
        <v>116</v>
      </c>
      <c r="AE54" s="60" t="s">
        <v>116</v>
      </c>
      <c r="AF54" s="60" t="s">
        <v>116</v>
      </c>
      <c r="AG54" s="60" t="s">
        <v>116</v>
      </c>
      <c r="AH54" s="60" t="s">
        <v>116</v>
      </c>
      <c r="AI54" s="71"/>
      <c r="AJ54" s="59" t="s">
        <v>130</v>
      </c>
      <c r="AK54" s="66">
        <f t="shared" si="23"/>
        <v>576</v>
      </c>
      <c r="AL54" s="37">
        <v>3</v>
      </c>
      <c r="AM54" s="37">
        <v>50</v>
      </c>
      <c r="AN54" s="38">
        <v>81</v>
      </c>
      <c r="AO54" s="70" t="e">
        <f t="shared" si="18"/>
        <v>#VALUE!</v>
      </c>
      <c r="AP54" s="39" t="s">
        <v>119</v>
      </c>
      <c r="AQ54" s="38" t="s">
        <v>109</v>
      </c>
      <c r="AR54" s="38" t="s">
        <v>83</v>
      </c>
      <c r="AS54" s="38" t="s">
        <v>83</v>
      </c>
      <c r="AT54" s="38" t="s">
        <v>83</v>
      </c>
      <c r="AU54" s="38" t="s">
        <v>111</v>
      </c>
      <c r="AV54" s="40">
        <v>100</v>
      </c>
      <c r="AW54" s="38">
        <v>60</v>
      </c>
      <c r="AX54" s="40" t="e">
        <f t="shared" ref="AX54:AX59" si="26">E54*AW54</f>
        <v>#VALUE!</v>
      </c>
      <c r="AY54" s="41" t="e">
        <f t="shared" si="24"/>
        <v>#N/A</v>
      </c>
      <c r="AZ54" s="75" t="s">
        <v>140</v>
      </c>
      <c r="BA54" s="37"/>
      <c r="BB54" s="42"/>
      <c r="BC54" s="144"/>
      <c r="BD54" s="145"/>
      <c r="BE54" s="142"/>
      <c r="BF54" s="142"/>
      <c r="BG54" s="142"/>
      <c r="BH54" s="142"/>
      <c r="BI54" s="142"/>
      <c r="BJ54" s="142"/>
    </row>
    <row r="55" spans="1:62">
      <c r="A55" s="39" t="s">
        <v>186</v>
      </c>
      <c r="B55" s="39" t="s">
        <v>53</v>
      </c>
      <c r="C55" s="39" t="s">
        <v>90</v>
      </c>
      <c r="D55" s="39" t="s">
        <v>116</v>
      </c>
      <c r="E55" s="39" t="s">
        <v>116</v>
      </c>
      <c r="F55" s="179" t="e">
        <f t="shared" si="17"/>
        <v>#VALUE!</v>
      </c>
      <c r="G55" s="39">
        <v>600000</v>
      </c>
      <c r="H55" s="57">
        <f t="shared" si="25"/>
        <v>150000</v>
      </c>
      <c r="I55" s="57">
        <f t="shared" si="21"/>
        <v>0</v>
      </c>
      <c r="J55" s="39"/>
      <c r="K55" s="39" t="s">
        <v>116</v>
      </c>
      <c r="L55" s="39" t="s">
        <v>116</v>
      </c>
      <c r="M55" s="39" t="s">
        <v>116</v>
      </c>
      <c r="N55" s="39" t="s">
        <v>116</v>
      </c>
      <c r="O55" s="39" t="s">
        <v>116</v>
      </c>
      <c r="P55" s="39"/>
      <c r="Q55" s="39"/>
      <c r="R55" s="39" t="s">
        <v>116</v>
      </c>
      <c r="S55" s="65">
        <f t="shared" si="22"/>
        <v>0</v>
      </c>
      <c r="T55" s="67"/>
      <c r="U55" s="67"/>
      <c r="V55" s="39" t="s">
        <v>116</v>
      </c>
      <c r="W55" s="39" t="s">
        <v>116</v>
      </c>
      <c r="X55" s="39" t="s">
        <v>116</v>
      </c>
      <c r="Y55" s="39" t="s">
        <v>116</v>
      </c>
      <c r="Z55" s="60" t="s">
        <v>116</v>
      </c>
      <c r="AA55" s="60" t="s">
        <v>116</v>
      </c>
      <c r="AB55" s="60" t="s">
        <v>116</v>
      </c>
      <c r="AC55" s="60" t="s">
        <v>116</v>
      </c>
      <c r="AD55" s="60" t="s">
        <v>116</v>
      </c>
      <c r="AE55" s="60" t="s">
        <v>116</v>
      </c>
      <c r="AF55" s="60" t="s">
        <v>116</v>
      </c>
      <c r="AG55" s="60" t="s">
        <v>116</v>
      </c>
      <c r="AH55" s="60" t="s">
        <v>116</v>
      </c>
      <c r="AI55" s="71"/>
      <c r="AJ55" s="59" t="s">
        <v>130</v>
      </c>
      <c r="AK55" s="66">
        <f t="shared" si="23"/>
        <v>576</v>
      </c>
      <c r="AL55" s="37">
        <v>3</v>
      </c>
      <c r="AM55" s="37">
        <v>50</v>
      </c>
      <c r="AN55" s="38">
        <v>81</v>
      </c>
      <c r="AO55" s="70" t="e">
        <f t="shared" si="18"/>
        <v>#VALUE!</v>
      </c>
      <c r="AP55" s="39" t="s">
        <v>119</v>
      </c>
      <c r="AQ55" s="38" t="s">
        <v>109</v>
      </c>
      <c r="AR55" s="38" t="s">
        <v>83</v>
      </c>
      <c r="AS55" s="38" t="s">
        <v>83</v>
      </c>
      <c r="AT55" s="38" t="s">
        <v>83</v>
      </c>
      <c r="AU55" s="38" t="s">
        <v>111</v>
      </c>
      <c r="AV55" s="40"/>
      <c r="AW55" s="38"/>
      <c r="AX55" s="40" t="e">
        <f t="shared" si="26"/>
        <v>#VALUE!</v>
      </c>
      <c r="AY55" s="41" t="e">
        <f t="shared" si="24"/>
        <v>#N/A</v>
      </c>
      <c r="AZ55" s="75"/>
      <c r="BA55" s="37"/>
      <c r="BB55" s="42"/>
      <c r="BC55" s="144"/>
      <c r="BD55" s="145"/>
      <c r="BE55" s="142"/>
      <c r="BF55" s="142"/>
      <c r="BG55" s="142"/>
      <c r="BH55" s="142"/>
      <c r="BI55" s="142"/>
      <c r="BJ55" s="142"/>
    </row>
    <row r="56" spans="1:62">
      <c r="A56" s="39" t="s">
        <v>186</v>
      </c>
      <c r="B56" s="39" t="s">
        <v>53</v>
      </c>
      <c r="C56" s="39" t="s">
        <v>90</v>
      </c>
      <c r="D56" s="39" t="s">
        <v>116</v>
      </c>
      <c r="E56" s="39" t="s">
        <v>116</v>
      </c>
      <c r="F56" s="179" t="e">
        <f t="shared" si="17"/>
        <v>#VALUE!</v>
      </c>
      <c r="G56" s="39">
        <v>650000</v>
      </c>
      <c r="H56" s="57">
        <f t="shared" si="25"/>
        <v>150000</v>
      </c>
      <c r="I56" s="57">
        <f t="shared" si="21"/>
        <v>0</v>
      </c>
      <c r="J56" s="39"/>
      <c r="K56" s="39" t="s">
        <v>116</v>
      </c>
      <c r="L56" s="39" t="s">
        <v>116</v>
      </c>
      <c r="M56" s="39" t="s">
        <v>116</v>
      </c>
      <c r="N56" s="39" t="s">
        <v>116</v>
      </c>
      <c r="O56" s="39" t="s">
        <v>116</v>
      </c>
      <c r="P56" s="39"/>
      <c r="Q56" s="39"/>
      <c r="R56" s="39" t="s">
        <v>116</v>
      </c>
      <c r="S56" s="65">
        <f t="shared" si="22"/>
        <v>0</v>
      </c>
      <c r="T56" s="67"/>
      <c r="U56" s="67"/>
      <c r="V56" s="39" t="s">
        <v>116</v>
      </c>
      <c r="W56" s="39" t="s">
        <v>116</v>
      </c>
      <c r="X56" s="39" t="s">
        <v>116</v>
      </c>
      <c r="Y56" s="39" t="s">
        <v>116</v>
      </c>
      <c r="Z56" s="60" t="s">
        <v>116</v>
      </c>
      <c r="AA56" s="60" t="s">
        <v>116</v>
      </c>
      <c r="AB56" s="60" t="s">
        <v>116</v>
      </c>
      <c r="AC56" s="60" t="s">
        <v>116</v>
      </c>
      <c r="AD56" s="60" t="s">
        <v>116</v>
      </c>
      <c r="AE56" s="60" t="s">
        <v>116</v>
      </c>
      <c r="AF56" s="60" t="s">
        <v>116</v>
      </c>
      <c r="AG56" s="60" t="s">
        <v>116</v>
      </c>
      <c r="AH56" s="60" t="s">
        <v>116</v>
      </c>
      <c r="AI56" s="71"/>
      <c r="AJ56" s="59" t="s">
        <v>130</v>
      </c>
      <c r="AK56" s="66">
        <f t="shared" si="23"/>
        <v>576</v>
      </c>
      <c r="AL56" s="37">
        <v>3</v>
      </c>
      <c r="AM56" s="37">
        <v>50</v>
      </c>
      <c r="AN56" s="38">
        <v>81</v>
      </c>
      <c r="AO56" s="70" t="e">
        <f t="shared" si="18"/>
        <v>#VALUE!</v>
      </c>
      <c r="AP56" s="39" t="s">
        <v>119</v>
      </c>
      <c r="AQ56" s="38" t="s">
        <v>109</v>
      </c>
      <c r="AR56" s="38" t="s">
        <v>83</v>
      </c>
      <c r="AS56" s="38" t="s">
        <v>83</v>
      </c>
      <c r="AT56" s="38" t="s">
        <v>83</v>
      </c>
      <c r="AU56" s="38" t="s">
        <v>111</v>
      </c>
      <c r="AV56" s="40"/>
      <c r="AW56" s="38"/>
      <c r="AX56" s="40" t="e">
        <f t="shared" si="26"/>
        <v>#VALUE!</v>
      </c>
      <c r="AY56" s="41" t="e">
        <f t="shared" si="24"/>
        <v>#N/A</v>
      </c>
      <c r="AZ56" s="75"/>
      <c r="BA56" s="37"/>
      <c r="BB56" s="42"/>
      <c r="BC56" s="144"/>
      <c r="BD56" s="145"/>
      <c r="BE56" s="142"/>
      <c r="BF56" s="142"/>
      <c r="BG56" s="142"/>
      <c r="BH56" s="142"/>
      <c r="BI56" s="142"/>
      <c r="BJ56" s="142"/>
    </row>
    <row r="57" spans="1:62">
      <c r="A57" s="39" t="s">
        <v>186</v>
      </c>
      <c r="B57" s="39" t="s">
        <v>53</v>
      </c>
      <c r="C57" s="39" t="s">
        <v>90</v>
      </c>
      <c r="D57" s="39" t="s">
        <v>116</v>
      </c>
      <c r="E57" s="39" t="s">
        <v>116</v>
      </c>
      <c r="F57" s="179" t="e">
        <f t="shared" si="17"/>
        <v>#VALUE!</v>
      </c>
      <c r="G57" s="39">
        <v>700000</v>
      </c>
      <c r="H57" s="57">
        <f t="shared" si="25"/>
        <v>150000</v>
      </c>
      <c r="I57" s="57">
        <f t="shared" si="21"/>
        <v>0</v>
      </c>
      <c r="J57" s="39"/>
      <c r="K57" s="39" t="s">
        <v>116</v>
      </c>
      <c r="L57" s="39" t="s">
        <v>116</v>
      </c>
      <c r="M57" s="39" t="s">
        <v>116</v>
      </c>
      <c r="N57" s="39" t="s">
        <v>116</v>
      </c>
      <c r="O57" s="39" t="s">
        <v>116</v>
      </c>
      <c r="P57" s="39"/>
      <c r="Q57" s="39"/>
      <c r="R57" s="39" t="s">
        <v>116</v>
      </c>
      <c r="S57" s="65">
        <f t="shared" si="22"/>
        <v>0</v>
      </c>
      <c r="T57" s="67"/>
      <c r="U57" s="67"/>
      <c r="V57" s="39" t="s">
        <v>116</v>
      </c>
      <c r="W57" s="39" t="s">
        <v>116</v>
      </c>
      <c r="X57" s="39" t="s">
        <v>116</v>
      </c>
      <c r="Y57" s="39" t="s">
        <v>116</v>
      </c>
      <c r="Z57" s="60" t="s">
        <v>116</v>
      </c>
      <c r="AA57" s="60" t="s">
        <v>116</v>
      </c>
      <c r="AB57" s="60" t="s">
        <v>116</v>
      </c>
      <c r="AC57" s="60" t="s">
        <v>116</v>
      </c>
      <c r="AD57" s="60" t="s">
        <v>116</v>
      </c>
      <c r="AE57" s="60" t="s">
        <v>116</v>
      </c>
      <c r="AF57" s="60" t="s">
        <v>116</v>
      </c>
      <c r="AG57" s="60" t="s">
        <v>116</v>
      </c>
      <c r="AH57" s="60" t="s">
        <v>116</v>
      </c>
      <c r="AI57" s="71"/>
      <c r="AJ57" s="59" t="s">
        <v>130</v>
      </c>
      <c r="AK57" s="66">
        <f t="shared" si="23"/>
        <v>576</v>
      </c>
      <c r="AL57" s="37">
        <v>3</v>
      </c>
      <c r="AM57" s="37">
        <v>50</v>
      </c>
      <c r="AN57" s="38">
        <v>81</v>
      </c>
      <c r="AO57" s="70" t="e">
        <f t="shared" si="18"/>
        <v>#VALUE!</v>
      </c>
      <c r="AP57" s="39" t="s">
        <v>119</v>
      </c>
      <c r="AQ57" s="38" t="s">
        <v>109</v>
      </c>
      <c r="AR57" s="38" t="s">
        <v>83</v>
      </c>
      <c r="AS57" s="38" t="s">
        <v>83</v>
      </c>
      <c r="AT57" s="38" t="s">
        <v>83</v>
      </c>
      <c r="AU57" s="38" t="s">
        <v>111</v>
      </c>
      <c r="AV57" s="40"/>
      <c r="AW57" s="38"/>
      <c r="AX57" s="40" t="e">
        <f t="shared" si="26"/>
        <v>#VALUE!</v>
      </c>
      <c r="AY57" s="41" t="e">
        <f t="shared" si="24"/>
        <v>#N/A</v>
      </c>
      <c r="AZ57" s="75"/>
      <c r="BA57" s="37"/>
      <c r="BB57" s="42"/>
      <c r="BC57" s="144"/>
      <c r="BD57" s="145"/>
      <c r="BE57" s="142"/>
      <c r="BF57" s="142"/>
      <c r="BG57" s="142"/>
      <c r="BH57" s="142"/>
      <c r="BI57" s="142"/>
      <c r="BJ57" s="142"/>
    </row>
    <row r="58" spans="1:62">
      <c r="A58" s="39" t="s">
        <v>186</v>
      </c>
      <c r="B58" s="39" t="s">
        <v>53</v>
      </c>
      <c r="C58" s="39" t="s">
        <v>90</v>
      </c>
      <c r="D58" s="39" t="s">
        <v>116</v>
      </c>
      <c r="E58" s="39" t="s">
        <v>116</v>
      </c>
      <c r="F58" s="179" t="e">
        <f t="shared" si="17"/>
        <v>#VALUE!</v>
      </c>
      <c r="G58" s="39">
        <v>750000</v>
      </c>
      <c r="H58" s="57">
        <f t="shared" si="25"/>
        <v>150000</v>
      </c>
      <c r="I58" s="57">
        <f t="shared" si="21"/>
        <v>0</v>
      </c>
      <c r="J58" s="39"/>
      <c r="K58" s="39" t="s">
        <v>116</v>
      </c>
      <c r="L58" s="39" t="s">
        <v>116</v>
      </c>
      <c r="M58" s="39" t="s">
        <v>116</v>
      </c>
      <c r="N58" s="39" t="s">
        <v>116</v>
      </c>
      <c r="O58" s="39" t="s">
        <v>116</v>
      </c>
      <c r="P58" s="39"/>
      <c r="Q58" s="39"/>
      <c r="R58" s="39" t="s">
        <v>116</v>
      </c>
      <c r="S58" s="65">
        <f t="shared" si="22"/>
        <v>0</v>
      </c>
      <c r="T58" s="67"/>
      <c r="U58" s="67"/>
      <c r="V58" s="39" t="s">
        <v>116</v>
      </c>
      <c r="W58" s="39" t="s">
        <v>116</v>
      </c>
      <c r="X58" s="39" t="s">
        <v>116</v>
      </c>
      <c r="Y58" s="39" t="s">
        <v>116</v>
      </c>
      <c r="Z58" s="60" t="s">
        <v>116</v>
      </c>
      <c r="AA58" s="60" t="s">
        <v>116</v>
      </c>
      <c r="AB58" s="60" t="s">
        <v>116</v>
      </c>
      <c r="AC58" s="60" t="s">
        <v>116</v>
      </c>
      <c r="AD58" s="60" t="s">
        <v>116</v>
      </c>
      <c r="AE58" s="60" t="s">
        <v>116</v>
      </c>
      <c r="AF58" s="60" t="s">
        <v>116</v>
      </c>
      <c r="AG58" s="60" t="s">
        <v>116</v>
      </c>
      <c r="AH58" s="60" t="s">
        <v>116</v>
      </c>
      <c r="AI58" s="71"/>
      <c r="AJ58" s="59" t="s">
        <v>130</v>
      </c>
      <c r="AK58" s="66">
        <f t="shared" si="23"/>
        <v>576</v>
      </c>
      <c r="AL58" s="37">
        <v>3</v>
      </c>
      <c r="AM58" s="37">
        <v>50</v>
      </c>
      <c r="AN58" s="38">
        <v>81</v>
      </c>
      <c r="AO58" s="70" t="e">
        <f t="shared" si="18"/>
        <v>#VALUE!</v>
      </c>
      <c r="AP58" s="39" t="s">
        <v>119</v>
      </c>
      <c r="AQ58" s="38" t="s">
        <v>109</v>
      </c>
      <c r="AR58" s="38" t="s">
        <v>83</v>
      </c>
      <c r="AS58" s="38" t="s">
        <v>83</v>
      </c>
      <c r="AT58" s="38" t="s">
        <v>83</v>
      </c>
      <c r="AU58" s="38" t="s">
        <v>111</v>
      </c>
      <c r="AV58" s="40"/>
      <c r="AW58" s="38"/>
      <c r="AX58" s="40" t="e">
        <f t="shared" si="26"/>
        <v>#VALUE!</v>
      </c>
      <c r="AY58" s="41" t="e">
        <f t="shared" si="24"/>
        <v>#N/A</v>
      </c>
      <c r="AZ58" s="75"/>
      <c r="BA58" s="37"/>
      <c r="BB58" s="42"/>
      <c r="BC58" s="144"/>
      <c r="BD58" s="145"/>
      <c r="BE58" s="142"/>
      <c r="BF58" s="142"/>
      <c r="BG58" s="142"/>
      <c r="BH58" s="142"/>
      <c r="BI58" s="142"/>
      <c r="BJ58" s="142"/>
    </row>
    <row r="59" spans="1:62">
      <c r="A59" s="39" t="s">
        <v>186</v>
      </c>
      <c r="B59" s="39" t="s">
        <v>53</v>
      </c>
      <c r="C59" s="39" t="s">
        <v>90</v>
      </c>
      <c r="D59" s="39" t="s">
        <v>116</v>
      </c>
      <c r="E59" s="39" t="s">
        <v>116</v>
      </c>
      <c r="F59" s="179" t="e">
        <f t="shared" si="17"/>
        <v>#VALUE!</v>
      </c>
      <c r="G59" s="39">
        <v>800000</v>
      </c>
      <c r="H59" s="57">
        <f t="shared" si="25"/>
        <v>150000</v>
      </c>
      <c r="I59" s="57">
        <f t="shared" si="21"/>
        <v>0</v>
      </c>
      <c r="J59" s="39"/>
      <c r="K59" s="39" t="s">
        <v>116</v>
      </c>
      <c r="L59" s="39" t="s">
        <v>116</v>
      </c>
      <c r="M59" s="39" t="s">
        <v>116</v>
      </c>
      <c r="N59" s="39" t="s">
        <v>116</v>
      </c>
      <c r="O59" s="39" t="s">
        <v>116</v>
      </c>
      <c r="P59" s="39"/>
      <c r="Q59" s="39"/>
      <c r="R59" s="39" t="s">
        <v>116</v>
      </c>
      <c r="S59" s="65">
        <f t="shared" si="22"/>
        <v>0</v>
      </c>
      <c r="T59" s="67"/>
      <c r="U59" s="67"/>
      <c r="V59" s="39" t="s">
        <v>116</v>
      </c>
      <c r="W59" s="39" t="s">
        <v>116</v>
      </c>
      <c r="X59" s="39" t="s">
        <v>116</v>
      </c>
      <c r="Y59" s="39" t="s">
        <v>116</v>
      </c>
      <c r="Z59" s="60" t="s">
        <v>116</v>
      </c>
      <c r="AA59" s="60" t="s">
        <v>116</v>
      </c>
      <c r="AB59" s="60" t="s">
        <v>116</v>
      </c>
      <c r="AC59" s="60" t="s">
        <v>116</v>
      </c>
      <c r="AD59" s="60" t="s">
        <v>116</v>
      </c>
      <c r="AE59" s="60" t="s">
        <v>116</v>
      </c>
      <c r="AF59" s="60" t="s">
        <v>116</v>
      </c>
      <c r="AG59" s="60" t="s">
        <v>116</v>
      </c>
      <c r="AH59" s="60" t="s">
        <v>116</v>
      </c>
      <c r="AI59" s="71"/>
      <c r="AJ59" s="59" t="s">
        <v>130</v>
      </c>
      <c r="AK59" s="66">
        <f t="shared" si="23"/>
        <v>576</v>
      </c>
      <c r="AL59" s="37">
        <v>3</v>
      </c>
      <c r="AM59" s="37">
        <v>50</v>
      </c>
      <c r="AN59" s="38">
        <v>81</v>
      </c>
      <c r="AO59" s="70" t="e">
        <f t="shared" si="18"/>
        <v>#VALUE!</v>
      </c>
      <c r="AP59" s="39" t="s">
        <v>119</v>
      </c>
      <c r="AQ59" s="38" t="s">
        <v>109</v>
      </c>
      <c r="AR59" s="38" t="s">
        <v>83</v>
      </c>
      <c r="AS59" s="38" t="s">
        <v>83</v>
      </c>
      <c r="AT59" s="38" t="s">
        <v>83</v>
      </c>
      <c r="AU59" s="38" t="s">
        <v>111</v>
      </c>
      <c r="AV59" s="40"/>
      <c r="AW59" s="38"/>
      <c r="AX59" s="40" t="e">
        <f t="shared" si="26"/>
        <v>#VALUE!</v>
      </c>
      <c r="AY59" s="41" t="e">
        <f t="shared" si="24"/>
        <v>#N/A</v>
      </c>
      <c r="AZ59" s="75"/>
      <c r="BA59" s="37"/>
      <c r="BB59" s="42"/>
      <c r="BC59" s="144"/>
      <c r="BD59" s="145"/>
      <c r="BE59" s="142"/>
      <c r="BF59" s="142"/>
      <c r="BG59" s="142"/>
      <c r="BH59" s="142"/>
      <c r="BI59" s="142"/>
      <c r="BJ59" s="142"/>
    </row>
    <row r="60" spans="1:62" ht="15">
      <c r="A60" s="39" t="s">
        <v>186</v>
      </c>
      <c r="B60" s="39" t="s">
        <v>53</v>
      </c>
      <c r="C60" s="39" t="s">
        <v>54</v>
      </c>
      <c r="D60" s="39">
        <f t="shared" ref="D60:D91" si="27">G60+H60+I60+S60+Z60+AF60</f>
        <v>1496200</v>
      </c>
      <c r="E60" s="64">
        <f t="shared" ref="E60:E91" si="28">G60+H60+I60+S60</f>
        <v>1417200</v>
      </c>
      <c r="F60" s="179">
        <f t="shared" si="17"/>
        <v>0.56449336720293541</v>
      </c>
      <c r="G60" s="57">
        <v>800000</v>
      </c>
      <c r="H60" s="57">
        <f>$BF$7*AM60</f>
        <v>250000</v>
      </c>
      <c r="I60" s="57">
        <f t="shared" si="21"/>
        <v>324000</v>
      </c>
      <c r="J60" s="57"/>
      <c r="K60" s="39">
        <f>1.08*200000</f>
        <v>216000</v>
      </c>
      <c r="L60" s="39">
        <f>1.08*50000</f>
        <v>54000</v>
      </c>
      <c r="M60" s="39"/>
      <c r="N60" s="57">
        <f>15000*1.08</f>
        <v>16200.000000000002</v>
      </c>
      <c r="O60" s="57">
        <f>20000*1.08</f>
        <v>21600</v>
      </c>
      <c r="P60" s="57"/>
      <c r="Q60" s="57"/>
      <c r="R60" s="65">
        <f>$BF$7*AL60*1.08</f>
        <v>16200.000000000002</v>
      </c>
      <c r="S60" s="65">
        <f t="shared" si="22"/>
        <v>43200</v>
      </c>
      <c r="T60" s="68"/>
      <c r="U60" s="68"/>
      <c r="V60" s="65">
        <v>21600</v>
      </c>
      <c r="W60" s="65">
        <v>10800</v>
      </c>
      <c r="X60" s="65">
        <v>10800</v>
      </c>
      <c r="Y60" s="65"/>
      <c r="Z60" s="59">
        <f t="shared" ref="Z60:Z91" si="29">AA60+AC60</f>
        <v>70000</v>
      </c>
      <c r="AA60" s="141">
        <v>55000</v>
      </c>
      <c r="AB60" s="141">
        <v>10000</v>
      </c>
      <c r="AC60" s="141">
        <f>$BF$10*AL60</f>
        <v>15000</v>
      </c>
      <c r="AD60" s="59">
        <f>$BF$11*AL60</f>
        <v>0</v>
      </c>
      <c r="AE60" s="141">
        <f>$BF$12*AL60</f>
        <v>30000</v>
      </c>
      <c r="AF60" s="59">
        <f t="shared" ref="AF60:AF91" si="30">SUM(AG60:AH60)</f>
        <v>9000</v>
      </c>
      <c r="AG60" s="141">
        <f>$BF$13*AL60</f>
        <v>9000</v>
      </c>
      <c r="AH60" s="59">
        <f>$BF$11*AL60</f>
        <v>0</v>
      </c>
      <c r="AI60" s="59"/>
      <c r="AJ60" s="59" t="s">
        <v>130</v>
      </c>
      <c r="AK60" s="66">
        <f t="shared" si="23"/>
        <v>576</v>
      </c>
      <c r="AL60" s="37">
        <v>3</v>
      </c>
      <c r="AM60" s="37">
        <v>50</v>
      </c>
      <c r="AN60" s="38">
        <v>81</v>
      </c>
      <c r="AO60" s="70">
        <f t="shared" si="18"/>
        <v>64955000</v>
      </c>
      <c r="AP60" s="39" t="s">
        <v>103</v>
      </c>
      <c r="AQ60" s="38" t="s">
        <v>109</v>
      </c>
      <c r="AR60" s="38" t="s">
        <v>83</v>
      </c>
      <c r="AS60" s="38" t="s">
        <v>83</v>
      </c>
      <c r="AT60" s="38" t="s">
        <v>83</v>
      </c>
      <c r="AU60" s="38" t="s">
        <v>111</v>
      </c>
      <c r="AV60" s="40"/>
      <c r="AW60" s="38"/>
      <c r="AX60" s="40"/>
      <c r="AY60" s="41" t="str">
        <f t="shared" si="24"/>
        <v>140-150</v>
      </c>
      <c r="AZ60" s="75"/>
      <c r="BA60" s="37"/>
      <c r="BB60" s="42"/>
      <c r="BC60" s="137">
        <v>2300000</v>
      </c>
      <c r="BD60" s="139" t="s">
        <v>165</v>
      </c>
      <c r="BE60" s="142"/>
      <c r="BF60" s="142"/>
      <c r="BG60" s="142"/>
      <c r="BH60" s="142"/>
      <c r="BI60" s="142"/>
      <c r="BJ60" s="142"/>
    </row>
    <row r="61" spans="1:62" ht="15">
      <c r="A61" s="39" t="s">
        <v>186</v>
      </c>
      <c r="B61" s="39" t="s">
        <v>53</v>
      </c>
      <c r="C61" s="39" t="s">
        <v>54</v>
      </c>
      <c r="D61" s="39">
        <f t="shared" si="27"/>
        <v>1496200</v>
      </c>
      <c r="E61" s="64">
        <f t="shared" si="28"/>
        <v>1417200</v>
      </c>
      <c r="F61" s="179">
        <f t="shared" si="17"/>
        <v>0.56449336720293541</v>
      </c>
      <c r="G61" s="57">
        <v>800000</v>
      </c>
      <c r="H61" s="57">
        <f>$BF$7*AM61</f>
        <v>250000</v>
      </c>
      <c r="I61" s="57">
        <f t="shared" si="21"/>
        <v>324000</v>
      </c>
      <c r="J61" s="57"/>
      <c r="K61" s="39">
        <f>1.08*200000</f>
        <v>216000</v>
      </c>
      <c r="L61" s="39">
        <f>1.08*50000</f>
        <v>54000</v>
      </c>
      <c r="M61" s="39"/>
      <c r="N61" s="57">
        <f>15000*1.08</f>
        <v>16200.000000000002</v>
      </c>
      <c r="O61" s="57">
        <f>20000*1.08</f>
        <v>21600</v>
      </c>
      <c r="P61" s="57"/>
      <c r="Q61" s="57"/>
      <c r="R61" s="65">
        <f>$BF$7*AL61*1.08</f>
        <v>16200.000000000002</v>
      </c>
      <c r="S61" s="65">
        <f t="shared" si="22"/>
        <v>43200</v>
      </c>
      <c r="T61" s="68"/>
      <c r="U61" s="68"/>
      <c r="V61" s="65">
        <v>21600</v>
      </c>
      <c r="W61" s="65">
        <v>10800</v>
      </c>
      <c r="X61" s="65">
        <v>10800</v>
      </c>
      <c r="Y61" s="65"/>
      <c r="Z61" s="59">
        <f t="shared" si="29"/>
        <v>70000</v>
      </c>
      <c r="AA61" s="141">
        <v>55000</v>
      </c>
      <c r="AB61" s="141">
        <v>10000</v>
      </c>
      <c r="AC61" s="141">
        <f>$BF$10*AL61</f>
        <v>15000</v>
      </c>
      <c r="AD61" s="59">
        <f>$BF$11*AL61</f>
        <v>0</v>
      </c>
      <c r="AE61" s="141">
        <f>$BF$12*AL61</f>
        <v>30000</v>
      </c>
      <c r="AF61" s="59">
        <f t="shared" si="30"/>
        <v>9000</v>
      </c>
      <c r="AG61" s="141">
        <f>$BF$13*AL61</f>
        <v>9000</v>
      </c>
      <c r="AH61" s="59">
        <f>$BF$11*AL61</f>
        <v>0</v>
      </c>
      <c r="AI61" s="59"/>
      <c r="AJ61" s="59" t="s">
        <v>130</v>
      </c>
      <c r="AK61" s="66">
        <f t="shared" si="23"/>
        <v>576</v>
      </c>
      <c r="AL61" s="37">
        <v>3</v>
      </c>
      <c r="AM61" s="37">
        <v>50</v>
      </c>
      <c r="AN61" s="38">
        <v>81</v>
      </c>
      <c r="AO61" s="70">
        <f t="shared" si="18"/>
        <v>64955000</v>
      </c>
      <c r="AP61" s="39" t="s">
        <v>104</v>
      </c>
      <c r="AQ61" s="38" t="s">
        <v>109</v>
      </c>
      <c r="AR61" s="38" t="s">
        <v>83</v>
      </c>
      <c r="AS61" s="38" t="s">
        <v>83</v>
      </c>
      <c r="AT61" s="38" t="s">
        <v>83</v>
      </c>
      <c r="AU61" s="38" t="s">
        <v>111</v>
      </c>
      <c r="AV61" s="40"/>
      <c r="AW61" s="38"/>
      <c r="AX61" s="40"/>
      <c r="AY61" s="41" t="str">
        <f t="shared" si="24"/>
        <v>140-150</v>
      </c>
      <c r="AZ61" s="75"/>
      <c r="BA61" s="37"/>
      <c r="BB61" s="42"/>
      <c r="BC61" s="137">
        <v>2400000</v>
      </c>
      <c r="BD61" s="139" t="s">
        <v>166</v>
      </c>
      <c r="BE61" s="142"/>
      <c r="BF61" s="142"/>
      <c r="BG61" s="142"/>
      <c r="BH61" s="142"/>
      <c r="BI61" s="142"/>
      <c r="BJ61" s="142"/>
    </row>
    <row r="62" spans="1:62" ht="15">
      <c r="A62" s="39" t="s">
        <v>186</v>
      </c>
      <c r="B62" s="39" t="s">
        <v>53</v>
      </c>
      <c r="C62" s="39" t="s">
        <v>54</v>
      </c>
      <c r="D62" s="39">
        <f t="shared" si="27"/>
        <v>1496200</v>
      </c>
      <c r="E62" s="64">
        <f t="shared" si="28"/>
        <v>1417200</v>
      </c>
      <c r="F62" s="179">
        <f t="shared" si="17"/>
        <v>0.56449336720293541</v>
      </c>
      <c r="G62" s="39">
        <v>800000</v>
      </c>
      <c r="H62" s="57">
        <f>$BF$7*AM62</f>
        <v>250000</v>
      </c>
      <c r="I62" s="57">
        <f t="shared" si="21"/>
        <v>324000</v>
      </c>
      <c r="J62" s="57"/>
      <c r="K62" s="39">
        <f>1.08*200000</f>
        <v>216000</v>
      </c>
      <c r="L62" s="39">
        <f>1.08*50000</f>
        <v>54000</v>
      </c>
      <c r="M62" s="39"/>
      <c r="N62" s="57">
        <f>15000*1.08</f>
        <v>16200.000000000002</v>
      </c>
      <c r="O62" s="57">
        <f>20000*1.08</f>
        <v>21600</v>
      </c>
      <c r="P62" s="57"/>
      <c r="Q62" s="57"/>
      <c r="R62" s="65">
        <f>$BF$7*AL62*1.08</f>
        <v>16200.000000000002</v>
      </c>
      <c r="S62" s="65">
        <f t="shared" si="22"/>
        <v>43200</v>
      </c>
      <c r="T62" s="68"/>
      <c r="U62" s="68"/>
      <c r="V62" s="65">
        <v>21600</v>
      </c>
      <c r="W62" s="65">
        <v>10800</v>
      </c>
      <c r="X62" s="65">
        <v>10800</v>
      </c>
      <c r="Y62" s="65"/>
      <c r="Z62" s="59">
        <f t="shared" si="29"/>
        <v>70000</v>
      </c>
      <c r="AA62" s="141">
        <v>55000</v>
      </c>
      <c r="AB62" s="141">
        <v>10000</v>
      </c>
      <c r="AC62" s="141">
        <f>$BF$10*AL62</f>
        <v>15000</v>
      </c>
      <c r="AD62" s="59">
        <f>$BF$11*AL62</f>
        <v>0</v>
      </c>
      <c r="AE62" s="141">
        <f>$BF$12*AL62</f>
        <v>30000</v>
      </c>
      <c r="AF62" s="59">
        <f t="shared" si="30"/>
        <v>9000</v>
      </c>
      <c r="AG62" s="141">
        <f>$BF$13*AL62</f>
        <v>9000</v>
      </c>
      <c r="AH62" s="59">
        <f>$BF$11*AL62</f>
        <v>0</v>
      </c>
      <c r="AI62" s="59"/>
      <c r="AJ62" s="59" t="s">
        <v>130</v>
      </c>
      <c r="AK62" s="66">
        <f t="shared" si="23"/>
        <v>576</v>
      </c>
      <c r="AL62" s="37">
        <v>3</v>
      </c>
      <c r="AM62" s="37">
        <v>50</v>
      </c>
      <c r="AN62" s="38">
        <v>81</v>
      </c>
      <c r="AO62" s="70">
        <f t="shared" si="18"/>
        <v>64955000</v>
      </c>
      <c r="AP62" s="39" t="s">
        <v>105</v>
      </c>
      <c r="AQ62" s="38" t="s">
        <v>109</v>
      </c>
      <c r="AR62" s="38" t="s">
        <v>83</v>
      </c>
      <c r="AS62" s="38" t="s">
        <v>83</v>
      </c>
      <c r="AT62" s="38" t="s">
        <v>83</v>
      </c>
      <c r="AU62" s="38" t="s">
        <v>111</v>
      </c>
      <c r="AV62" s="40"/>
      <c r="AW62" s="38"/>
      <c r="AX62" s="40"/>
      <c r="AY62" s="41" t="str">
        <f t="shared" si="24"/>
        <v>140-150</v>
      </c>
      <c r="AZ62" s="75"/>
      <c r="BA62" s="37"/>
      <c r="BB62" s="42"/>
      <c r="BC62" s="137">
        <v>2500000</v>
      </c>
      <c r="BD62" s="139" t="s">
        <v>167</v>
      </c>
    </row>
    <row r="63" spans="1:62">
      <c r="A63" s="39" t="s">
        <v>186</v>
      </c>
      <c r="B63" s="39" t="s">
        <v>53</v>
      </c>
      <c r="C63" s="39" t="s">
        <v>54</v>
      </c>
      <c r="D63" s="39">
        <f t="shared" si="27"/>
        <v>1520400</v>
      </c>
      <c r="E63" s="64">
        <f t="shared" si="28"/>
        <v>1433400</v>
      </c>
      <c r="F63" s="179">
        <f t="shared" si="17"/>
        <v>0.55811357611273893</v>
      </c>
      <c r="G63" s="39">
        <v>800000</v>
      </c>
      <c r="H63" s="57">
        <f>$BF$7*AM63</f>
        <v>250000</v>
      </c>
      <c r="I63" s="57">
        <f t="shared" si="21"/>
        <v>329400</v>
      </c>
      <c r="J63" s="57"/>
      <c r="K63" s="39">
        <f>1.08*200000</f>
        <v>216000</v>
      </c>
      <c r="L63" s="39">
        <f>1.08*50000</f>
        <v>54000</v>
      </c>
      <c r="M63" s="39"/>
      <c r="N63" s="57">
        <f>15000*1.08</f>
        <v>16200.000000000002</v>
      </c>
      <c r="O63" s="57">
        <f>20000*1.08</f>
        <v>21600</v>
      </c>
      <c r="P63" s="57"/>
      <c r="Q63" s="57"/>
      <c r="R63" s="65">
        <f>$BF$7*AL63*1.08</f>
        <v>21600</v>
      </c>
      <c r="S63" s="65">
        <f t="shared" si="22"/>
        <v>54000</v>
      </c>
      <c r="T63" s="68"/>
      <c r="U63" s="68"/>
      <c r="V63" s="65">
        <v>21600</v>
      </c>
      <c r="W63" s="65">
        <v>10800</v>
      </c>
      <c r="X63" s="65">
        <v>10800</v>
      </c>
      <c r="Y63" s="65">
        <v>10800</v>
      </c>
      <c r="Z63" s="59">
        <f t="shared" si="29"/>
        <v>75000</v>
      </c>
      <c r="AA63" s="141">
        <v>55000</v>
      </c>
      <c r="AB63" s="141">
        <v>10000</v>
      </c>
      <c r="AC63" s="141">
        <f>$BF$10*AL63</f>
        <v>20000</v>
      </c>
      <c r="AD63" s="59">
        <f>$BF$11*AL63</f>
        <v>0</v>
      </c>
      <c r="AE63" s="141">
        <f>$BF$12*AL63</f>
        <v>40000</v>
      </c>
      <c r="AF63" s="59">
        <f t="shared" si="30"/>
        <v>12000</v>
      </c>
      <c r="AG63" s="141">
        <f>$BF$13*AL63</f>
        <v>12000</v>
      </c>
      <c r="AH63" s="59">
        <f>$BF$11*AL63</f>
        <v>0</v>
      </c>
      <c r="AI63" s="59"/>
      <c r="AJ63" s="59" t="s">
        <v>130</v>
      </c>
      <c r="AK63" s="66">
        <f t="shared" si="23"/>
        <v>576</v>
      </c>
      <c r="AL63" s="37">
        <v>4</v>
      </c>
      <c r="AM63" s="37">
        <v>50</v>
      </c>
      <c r="AN63" s="38">
        <v>91</v>
      </c>
      <c r="AO63" s="70">
        <f t="shared" si="18"/>
        <v>65697500</v>
      </c>
      <c r="AP63" s="39" t="s">
        <v>103</v>
      </c>
      <c r="AQ63" s="38" t="s">
        <v>109</v>
      </c>
      <c r="AR63" s="38" t="s">
        <v>83</v>
      </c>
      <c r="AS63" s="38" t="s">
        <v>83</v>
      </c>
      <c r="AT63" s="38" t="s">
        <v>83</v>
      </c>
      <c r="AU63" s="38" t="s">
        <v>111</v>
      </c>
      <c r="AV63" s="40"/>
      <c r="AW63" s="38"/>
      <c r="AX63" s="40"/>
      <c r="AY63" s="41" t="str">
        <f t="shared" si="24"/>
        <v>140-150</v>
      </c>
      <c r="AZ63" s="75"/>
      <c r="BA63" s="137"/>
      <c r="BB63" s="139"/>
      <c r="BC63" s="144"/>
      <c r="BD63" s="145"/>
      <c r="BE63" s="142"/>
      <c r="BF63" s="142"/>
      <c r="BG63" s="142"/>
      <c r="BH63" s="142"/>
      <c r="BI63" s="142"/>
      <c r="BJ63" s="142"/>
    </row>
    <row r="64" spans="1:62">
      <c r="A64" s="39" t="s">
        <v>186</v>
      </c>
      <c r="B64" s="39" t="s">
        <v>53</v>
      </c>
      <c r="C64" s="39" t="s">
        <v>92</v>
      </c>
      <c r="D64" s="39">
        <f t="shared" si="27"/>
        <v>1175800</v>
      </c>
      <c r="E64" s="64">
        <f t="shared" si="28"/>
        <v>1115800</v>
      </c>
      <c r="F64" s="179">
        <f t="shared" si="17"/>
        <v>0.67216347015594191</v>
      </c>
      <c r="G64" s="45">
        <v>750000</v>
      </c>
      <c r="H64" s="39">
        <f t="shared" ref="H64:H71" si="31">$BH$7*AM64</f>
        <v>50000</v>
      </c>
      <c r="I64" s="57">
        <f t="shared" si="21"/>
        <v>261800</v>
      </c>
      <c r="J64" s="57"/>
      <c r="K64" s="39">
        <f>150000*1.08</f>
        <v>162000</v>
      </c>
      <c r="L64" s="39">
        <f>40000*1.08</f>
        <v>43200</v>
      </c>
      <c r="M64" s="39"/>
      <c r="N64" s="39">
        <v>15000</v>
      </c>
      <c r="O64" s="39">
        <v>20000</v>
      </c>
      <c r="P64" s="39"/>
      <c r="Q64" s="39"/>
      <c r="R64" s="39">
        <f t="shared" ref="R64:R71" si="32">$BH$8*AL64*1.08</f>
        <v>21600</v>
      </c>
      <c r="S64" s="65">
        <f t="shared" si="22"/>
        <v>54000</v>
      </c>
      <c r="T64" s="68"/>
      <c r="U64" s="68"/>
      <c r="V64" s="39">
        <v>21600</v>
      </c>
      <c r="W64" s="39">
        <v>10800</v>
      </c>
      <c r="X64" s="39">
        <v>10800</v>
      </c>
      <c r="Y64" s="39">
        <v>10800</v>
      </c>
      <c r="Z64" s="59">
        <f t="shared" si="29"/>
        <v>30000</v>
      </c>
      <c r="AA64" s="60">
        <v>30000</v>
      </c>
      <c r="AB64" s="60">
        <v>20000</v>
      </c>
      <c r="AC64" s="60"/>
      <c r="AD64" s="59">
        <f t="shared" ref="AD64:AD71" si="33">$BH$11*AL64</f>
        <v>0</v>
      </c>
      <c r="AE64" s="60"/>
      <c r="AF64" s="59">
        <f t="shared" si="30"/>
        <v>30000</v>
      </c>
      <c r="AG64" s="60">
        <v>30000</v>
      </c>
      <c r="AH64" s="59">
        <f t="shared" ref="AH64:AH71" si="34">$BH$11*AL64</f>
        <v>0</v>
      </c>
      <c r="AI64" s="59"/>
      <c r="AJ64" s="59" t="s">
        <v>130</v>
      </c>
      <c r="AK64" s="66">
        <f t="shared" si="23"/>
        <v>576</v>
      </c>
      <c r="AL64" s="44">
        <v>4</v>
      </c>
      <c r="AM64" s="37">
        <v>50</v>
      </c>
      <c r="AN64" s="37">
        <v>91</v>
      </c>
      <c r="AO64" s="70">
        <f t="shared" si="18"/>
        <v>51140833.333333328</v>
      </c>
      <c r="AP64" s="39" t="s">
        <v>124</v>
      </c>
      <c r="AQ64" s="38" t="s">
        <v>109</v>
      </c>
      <c r="AR64" s="38" t="s">
        <v>83</v>
      </c>
      <c r="AS64" s="38" t="s">
        <v>83</v>
      </c>
      <c r="AT64" s="38" t="s">
        <v>83</v>
      </c>
      <c r="AU64" s="38" t="s">
        <v>111</v>
      </c>
      <c r="AV64" s="46"/>
      <c r="AW64" s="46"/>
      <c r="AX64" s="40"/>
      <c r="AY64" s="41" t="str">
        <f t="shared" si="24"/>
        <v>100-110</v>
      </c>
      <c r="AZ64" s="76"/>
      <c r="BA64" s="144"/>
      <c r="BB64" s="144"/>
      <c r="BC64" s="35"/>
      <c r="BD64" s="43"/>
      <c r="BE64" s="49"/>
      <c r="BF64" s="49"/>
      <c r="BG64" s="49"/>
      <c r="BH64" s="49"/>
      <c r="BI64" s="49"/>
      <c r="BJ64" s="49"/>
    </row>
    <row r="65" spans="1:62">
      <c r="A65" s="39" t="s">
        <v>186</v>
      </c>
      <c r="B65" s="39" t="s">
        <v>53</v>
      </c>
      <c r="C65" s="39" t="s">
        <v>92</v>
      </c>
      <c r="D65" s="39">
        <f t="shared" si="27"/>
        <v>1175800</v>
      </c>
      <c r="E65" s="64">
        <f t="shared" si="28"/>
        <v>1115800</v>
      </c>
      <c r="F65" s="179">
        <f t="shared" si="17"/>
        <v>0.67216347015594191</v>
      </c>
      <c r="G65" s="45">
        <v>750000</v>
      </c>
      <c r="H65" s="39">
        <f t="shared" si="31"/>
        <v>50000</v>
      </c>
      <c r="I65" s="57">
        <f t="shared" si="21"/>
        <v>261800</v>
      </c>
      <c r="J65" s="57"/>
      <c r="K65" s="39">
        <f>150000*1.08</f>
        <v>162000</v>
      </c>
      <c r="L65" s="39">
        <f>40000*1.08</f>
        <v>43200</v>
      </c>
      <c r="M65" s="39"/>
      <c r="N65" s="39">
        <v>15000</v>
      </c>
      <c r="O65" s="39">
        <v>20000</v>
      </c>
      <c r="P65" s="39"/>
      <c r="Q65" s="39"/>
      <c r="R65" s="39">
        <f t="shared" si="32"/>
        <v>21600</v>
      </c>
      <c r="S65" s="65">
        <f t="shared" si="22"/>
        <v>54000</v>
      </c>
      <c r="T65" s="68"/>
      <c r="U65" s="68"/>
      <c r="V65" s="39">
        <v>21600</v>
      </c>
      <c r="W65" s="39">
        <v>10800</v>
      </c>
      <c r="X65" s="39">
        <v>10800</v>
      </c>
      <c r="Y65" s="39">
        <v>10800</v>
      </c>
      <c r="Z65" s="59">
        <f t="shared" si="29"/>
        <v>30000</v>
      </c>
      <c r="AA65" s="60">
        <v>30000</v>
      </c>
      <c r="AB65" s="60">
        <v>20000</v>
      </c>
      <c r="AC65" s="60"/>
      <c r="AD65" s="59">
        <f t="shared" si="33"/>
        <v>0</v>
      </c>
      <c r="AE65" s="60"/>
      <c r="AF65" s="59">
        <f t="shared" si="30"/>
        <v>30000</v>
      </c>
      <c r="AG65" s="60">
        <v>30000</v>
      </c>
      <c r="AH65" s="59">
        <f t="shared" si="34"/>
        <v>0</v>
      </c>
      <c r="AI65" s="59"/>
      <c r="AJ65" s="59" t="s">
        <v>130</v>
      </c>
      <c r="AK65" s="66">
        <f t="shared" si="23"/>
        <v>576</v>
      </c>
      <c r="AL65" s="44">
        <v>4</v>
      </c>
      <c r="AM65" s="37">
        <v>50</v>
      </c>
      <c r="AN65" s="37">
        <v>91</v>
      </c>
      <c r="AO65" s="70">
        <f t="shared" si="18"/>
        <v>51140833.333333328</v>
      </c>
      <c r="AP65" s="39" t="s">
        <v>125</v>
      </c>
      <c r="AQ65" s="38" t="s">
        <v>109</v>
      </c>
      <c r="AR65" s="38" t="s">
        <v>83</v>
      </c>
      <c r="AS65" s="38" t="s">
        <v>83</v>
      </c>
      <c r="AT65" s="38" t="s">
        <v>83</v>
      </c>
      <c r="AU65" s="38" t="s">
        <v>111</v>
      </c>
      <c r="AV65" s="46"/>
      <c r="AW65" s="46"/>
      <c r="AX65" s="40"/>
      <c r="AY65" s="41" t="str">
        <f t="shared" si="24"/>
        <v>100-110</v>
      </c>
      <c r="AZ65" s="76"/>
      <c r="BA65" s="144"/>
      <c r="BB65" s="144"/>
      <c r="BC65" s="35"/>
      <c r="BD65" s="43"/>
      <c r="BE65" s="49"/>
      <c r="BF65" s="49"/>
      <c r="BG65" s="49"/>
      <c r="BH65" s="49"/>
      <c r="BI65" s="49"/>
      <c r="BJ65" s="49"/>
    </row>
    <row r="66" spans="1:62">
      <c r="A66" s="39" t="s">
        <v>186</v>
      </c>
      <c r="B66" s="39" t="s">
        <v>53</v>
      </c>
      <c r="C66" s="39" t="s">
        <v>92</v>
      </c>
      <c r="D66" s="39">
        <f t="shared" si="27"/>
        <v>1175800</v>
      </c>
      <c r="E66" s="64">
        <f t="shared" si="28"/>
        <v>1115800</v>
      </c>
      <c r="F66" s="179">
        <f t="shared" si="17"/>
        <v>0.67216347015594191</v>
      </c>
      <c r="G66" s="45">
        <v>750000</v>
      </c>
      <c r="H66" s="39">
        <f t="shared" si="31"/>
        <v>50000</v>
      </c>
      <c r="I66" s="57">
        <f t="shared" si="21"/>
        <v>261800</v>
      </c>
      <c r="J66" s="57"/>
      <c r="K66" s="39">
        <f>150000*1.08</f>
        <v>162000</v>
      </c>
      <c r="L66" s="39">
        <f>40000*1.08</f>
        <v>43200</v>
      </c>
      <c r="M66" s="39"/>
      <c r="N66" s="39">
        <v>15000</v>
      </c>
      <c r="O66" s="39">
        <v>20000</v>
      </c>
      <c r="P66" s="39"/>
      <c r="Q66" s="39"/>
      <c r="R66" s="39">
        <f t="shared" si="32"/>
        <v>21600</v>
      </c>
      <c r="S66" s="65">
        <f t="shared" si="22"/>
        <v>54000</v>
      </c>
      <c r="T66" s="68"/>
      <c r="U66" s="68"/>
      <c r="V66" s="39">
        <v>21600</v>
      </c>
      <c r="W66" s="39">
        <v>10800</v>
      </c>
      <c r="X66" s="39">
        <v>10800</v>
      </c>
      <c r="Y66" s="39">
        <v>10800</v>
      </c>
      <c r="Z66" s="59">
        <f t="shared" si="29"/>
        <v>30000</v>
      </c>
      <c r="AA66" s="60">
        <v>30000</v>
      </c>
      <c r="AB66" s="60">
        <v>20000</v>
      </c>
      <c r="AC66" s="60"/>
      <c r="AD66" s="59">
        <f t="shared" si="33"/>
        <v>0</v>
      </c>
      <c r="AE66" s="60"/>
      <c r="AF66" s="59">
        <f t="shared" si="30"/>
        <v>30000</v>
      </c>
      <c r="AG66" s="60">
        <v>30000</v>
      </c>
      <c r="AH66" s="59">
        <f t="shared" si="34"/>
        <v>0</v>
      </c>
      <c r="AI66" s="59"/>
      <c r="AJ66" s="59" t="s">
        <v>130</v>
      </c>
      <c r="AK66" s="66">
        <f t="shared" si="23"/>
        <v>576</v>
      </c>
      <c r="AL66" s="44">
        <v>4</v>
      </c>
      <c r="AM66" s="37">
        <v>50</v>
      </c>
      <c r="AN66" s="37">
        <v>91</v>
      </c>
      <c r="AO66" s="70">
        <f t="shared" si="18"/>
        <v>51140833.333333328</v>
      </c>
      <c r="AP66" s="39" t="s">
        <v>102</v>
      </c>
      <c r="AQ66" s="38" t="s">
        <v>109</v>
      </c>
      <c r="AR66" s="38" t="s">
        <v>83</v>
      </c>
      <c r="AS66" s="38" t="s">
        <v>83</v>
      </c>
      <c r="AT66" s="38" t="s">
        <v>83</v>
      </c>
      <c r="AU66" s="38" t="s">
        <v>111</v>
      </c>
      <c r="AV66" s="46"/>
      <c r="AW66" s="46"/>
      <c r="AX66" s="40"/>
      <c r="AY66" s="41" t="str">
        <f t="shared" si="24"/>
        <v>100-110</v>
      </c>
      <c r="AZ66" s="76"/>
      <c r="BA66" s="144"/>
      <c r="BB66" s="144"/>
      <c r="BC66" s="35"/>
      <c r="BD66" s="43"/>
      <c r="BE66" s="49"/>
      <c r="BF66" s="49"/>
      <c r="BG66" s="49"/>
      <c r="BH66" s="49"/>
      <c r="BI66" s="49"/>
      <c r="BJ66" s="49"/>
    </row>
    <row r="67" spans="1:62">
      <c r="A67" s="39" t="s">
        <v>186</v>
      </c>
      <c r="B67" s="39" t="s">
        <v>53</v>
      </c>
      <c r="C67" s="39" t="s">
        <v>92</v>
      </c>
      <c r="D67" s="39">
        <f t="shared" si="27"/>
        <v>1174400</v>
      </c>
      <c r="E67" s="64">
        <f t="shared" si="28"/>
        <v>1114400</v>
      </c>
      <c r="F67" s="179">
        <f t="shared" si="17"/>
        <v>0.62814070351758799</v>
      </c>
      <c r="G67" s="45">
        <v>700000</v>
      </c>
      <c r="H67" s="39">
        <f t="shared" si="31"/>
        <v>50000</v>
      </c>
      <c r="I67" s="57">
        <f t="shared" si="21"/>
        <v>321200</v>
      </c>
      <c r="J67" s="57"/>
      <c r="K67" s="39">
        <f>1.08*200000</f>
        <v>216000</v>
      </c>
      <c r="L67" s="39">
        <f>1.08*50000</f>
        <v>54000</v>
      </c>
      <c r="M67" s="39"/>
      <c r="N67" s="39">
        <v>15000</v>
      </c>
      <c r="O67" s="39">
        <v>20000</v>
      </c>
      <c r="P67" s="39"/>
      <c r="Q67" s="39"/>
      <c r="R67" s="39">
        <f t="shared" si="32"/>
        <v>16200.000000000002</v>
      </c>
      <c r="S67" s="65">
        <f t="shared" si="22"/>
        <v>43200</v>
      </c>
      <c r="T67" s="68"/>
      <c r="U67" s="68"/>
      <c r="V67" s="39">
        <v>21600</v>
      </c>
      <c r="W67" s="39">
        <v>10800</v>
      </c>
      <c r="X67" s="39">
        <v>10800</v>
      </c>
      <c r="Y67" s="39"/>
      <c r="Z67" s="59">
        <f t="shared" si="29"/>
        <v>30000</v>
      </c>
      <c r="AA67" s="60">
        <v>30000</v>
      </c>
      <c r="AB67" s="60">
        <v>20000</v>
      </c>
      <c r="AC67" s="60"/>
      <c r="AD67" s="59">
        <f t="shared" si="33"/>
        <v>0</v>
      </c>
      <c r="AE67" s="60"/>
      <c r="AF67" s="59">
        <f t="shared" si="30"/>
        <v>30000</v>
      </c>
      <c r="AG67" s="60">
        <v>30000</v>
      </c>
      <c r="AH67" s="59">
        <f t="shared" si="34"/>
        <v>0</v>
      </c>
      <c r="AI67" s="59"/>
      <c r="AJ67" s="59" t="s">
        <v>130</v>
      </c>
      <c r="AK67" s="66">
        <f t="shared" si="23"/>
        <v>576</v>
      </c>
      <c r="AL67" s="37">
        <v>3</v>
      </c>
      <c r="AM67" s="37">
        <v>50</v>
      </c>
      <c r="AN67" s="37">
        <v>81</v>
      </c>
      <c r="AO67" s="70">
        <f t="shared" si="18"/>
        <v>51076666.666666664</v>
      </c>
      <c r="AP67" s="39" t="s">
        <v>104</v>
      </c>
      <c r="AQ67" s="38" t="s">
        <v>109</v>
      </c>
      <c r="AR67" s="38" t="s">
        <v>83</v>
      </c>
      <c r="AS67" s="38" t="s">
        <v>83</v>
      </c>
      <c r="AT67" s="38" t="s">
        <v>83</v>
      </c>
      <c r="AU67" s="38" t="s">
        <v>111</v>
      </c>
      <c r="AV67" s="46">
        <v>16</v>
      </c>
      <c r="AW67" s="46">
        <v>14</v>
      </c>
      <c r="AX67" s="40">
        <f>E67*AW67</f>
        <v>15601600</v>
      </c>
      <c r="AY67" s="41" t="str">
        <f t="shared" si="24"/>
        <v>100-110</v>
      </c>
      <c r="AZ67" s="76"/>
      <c r="BA67" s="144"/>
      <c r="BB67" s="144"/>
      <c r="BC67" s="35"/>
      <c r="BD67" s="43"/>
      <c r="BE67" s="49"/>
      <c r="BF67" s="49"/>
      <c r="BG67" s="49"/>
      <c r="BH67" s="49"/>
      <c r="BI67" s="49"/>
      <c r="BJ67" s="49"/>
    </row>
    <row r="68" spans="1:62">
      <c r="A68" s="39" t="s">
        <v>186</v>
      </c>
      <c r="B68" s="39" t="s">
        <v>53</v>
      </c>
      <c r="C68" s="39" t="s">
        <v>92</v>
      </c>
      <c r="D68" s="39">
        <f t="shared" si="27"/>
        <v>1174400</v>
      </c>
      <c r="E68" s="64">
        <f t="shared" si="28"/>
        <v>1114400</v>
      </c>
      <c r="F68" s="179">
        <f t="shared" si="17"/>
        <v>0.62814070351758799</v>
      </c>
      <c r="G68" s="45">
        <v>700000</v>
      </c>
      <c r="H68" s="39">
        <f t="shared" si="31"/>
        <v>50000</v>
      </c>
      <c r="I68" s="57">
        <f t="shared" si="21"/>
        <v>321200</v>
      </c>
      <c r="J68" s="57"/>
      <c r="K68" s="39">
        <f>1.08*200000</f>
        <v>216000</v>
      </c>
      <c r="L68" s="39">
        <f>1.08*50000</f>
        <v>54000</v>
      </c>
      <c r="M68" s="39"/>
      <c r="N68" s="39">
        <v>15000</v>
      </c>
      <c r="O68" s="39">
        <v>20000</v>
      </c>
      <c r="P68" s="39"/>
      <c r="Q68" s="39"/>
      <c r="R68" s="39">
        <f t="shared" si="32"/>
        <v>16200.000000000002</v>
      </c>
      <c r="S68" s="65">
        <f t="shared" si="22"/>
        <v>43200</v>
      </c>
      <c r="T68" s="68"/>
      <c r="U68" s="68"/>
      <c r="V68" s="39">
        <v>21600</v>
      </c>
      <c r="W68" s="39">
        <v>10800</v>
      </c>
      <c r="X68" s="39">
        <v>10800</v>
      </c>
      <c r="Y68" s="39"/>
      <c r="Z68" s="59">
        <f t="shared" si="29"/>
        <v>30000</v>
      </c>
      <c r="AA68" s="60">
        <v>30000</v>
      </c>
      <c r="AB68" s="60">
        <v>20000</v>
      </c>
      <c r="AC68" s="60"/>
      <c r="AD68" s="59">
        <f t="shared" si="33"/>
        <v>0</v>
      </c>
      <c r="AE68" s="60"/>
      <c r="AF68" s="59">
        <f t="shared" si="30"/>
        <v>30000</v>
      </c>
      <c r="AG68" s="60">
        <v>30000</v>
      </c>
      <c r="AH68" s="59">
        <f t="shared" si="34"/>
        <v>0</v>
      </c>
      <c r="AI68" s="59"/>
      <c r="AJ68" s="59" t="s">
        <v>130</v>
      </c>
      <c r="AK68" s="66">
        <f t="shared" si="23"/>
        <v>576</v>
      </c>
      <c r="AL68" s="37">
        <v>3</v>
      </c>
      <c r="AM68" s="37">
        <v>50</v>
      </c>
      <c r="AN68" s="37">
        <v>81</v>
      </c>
      <c r="AO68" s="70">
        <f t="shared" si="18"/>
        <v>51076666.666666664</v>
      </c>
      <c r="AP68" s="39" t="s">
        <v>123</v>
      </c>
      <c r="AQ68" s="38" t="s">
        <v>109</v>
      </c>
      <c r="AR68" s="38" t="s">
        <v>83</v>
      </c>
      <c r="AS68" s="38" t="s">
        <v>83</v>
      </c>
      <c r="AT68" s="38" t="s">
        <v>83</v>
      </c>
      <c r="AU68" s="38" t="s">
        <v>111</v>
      </c>
      <c r="AV68" s="46"/>
      <c r="AW68" s="46"/>
      <c r="AX68" s="40"/>
      <c r="AY68" s="41" t="str">
        <f t="shared" si="24"/>
        <v>100-110</v>
      </c>
      <c r="AZ68" s="76"/>
      <c r="BA68" s="144"/>
      <c r="BB68" s="144"/>
      <c r="BC68" s="35"/>
      <c r="BD68" s="43"/>
      <c r="BE68" s="49"/>
      <c r="BF68" s="49"/>
      <c r="BG68" s="49"/>
      <c r="BH68" s="49"/>
      <c r="BI68" s="49"/>
      <c r="BJ68" s="49"/>
    </row>
    <row r="69" spans="1:62">
      <c r="A69" s="39" t="s">
        <v>186</v>
      </c>
      <c r="B69" s="39" t="s">
        <v>53</v>
      </c>
      <c r="C69" s="39" t="s">
        <v>92</v>
      </c>
      <c r="D69" s="39">
        <f t="shared" si="27"/>
        <v>1174400</v>
      </c>
      <c r="E69" s="64">
        <f t="shared" si="28"/>
        <v>1114400</v>
      </c>
      <c r="F69" s="179">
        <f t="shared" si="17"/>
        <v>0.62814070351758799</v>
      </c>
      <c r="G69" s="45">
        <v>700000</v>
      </c>
      <c r="H69" s="39">
        <f t="shared" si="31"/>
        <v>50000</v>
      </c>
      <c r="I69" s="57">
        <f t="shared" si="21"/>
        <v>321200</v>
      </c>
      <c r="J69" s="57"/>
      <c r="K69" s="39">
        <f>1.08*200000</f>
        <v>216000</v>
      </c>
      <c r="L69" s="39">
        <f>1.08*50000</f>
        <v>54000</v>
      </c>
      <c r="M69" s="39"/>
      <c r="N69" s="39">
        <v>15000</v>
      </c>
      <c r="O69" s="39">
        <v>20000</v>
      </c>
      <c r="P69" s="39"/>
      <c r="Q69" s="39"/>
      <c r="R69" s="39">
        <f t="shared" si="32"/>
        <v>16200.000000000002</v>
      </c>
      <c r="S69" s="65">
        <f t="shared" si="22"/>
        <v>43200</v>
      </c>
      <c r="T69" s="68"/>
      <c r="U69" s="68"/>
      <c r="V69" s="39">
        <v>21600</v>
      </c>
      <c r="W69" s="39">
        <v>10800</v>
      </c>
      <c r="X69" s="39">
        <v>10800</v>
      </c>
      <c r="Y69" s="39"/>
      <c r="Z69" s="59">
        <f t="shared" si="29"/>
        <v>30000</v>
      </c>
      <c r="AA69" s="60">
        <v>30000</v>
      </c>
      <c r="AB69" s="60">
        <v>20000</v>
      </c>
      <c r="AC69" s="60"/>
      <c r="AD69" s="59">
        <f t="shared" si="33"/>
        <v>0</v>
      </c>
      <c r="AE69" s="60"/>
      <c r="AF69" s="59">
        <f t="shared" si="30"/>
        <v>30000</v>
      </c>
      <c r="AG69" s="60">
        <v>30000</v>
      </c>
      <c r="AH69" s="59">
        <f t="shared" si="34"/>
        <v>0</v>
      </c>
      <c r="AI69" s="59"/>
      <c r="AJ69" s="59" t="s">
        <v>130</v>
      </c>
      <c r="AK69" s="66">
        <f t="shared" si="23"/>
        <v>576</v>
      </c>
      <c r="AL69" s="37">
        <v>3</v>
      </c>
      <c r="AM69" s="37">
        <v>50</v>
      </c>
      <c r="AN69" s="37">
        <v>81</v>
      </c>
      <c r="AO69" s="70">
        <f t="shared" si="18"/>
        <v>51076666.666666664</v>
      </c>
      <c r="AP69" s="39" t="s">
        <v>105</v>
      </c>
      <c r="AQ69" s="38" t="s">
        <v>109</v>
      </c>
      <c r="AR69" s="38" t="s">
        <v>83</v>
      </c>
      <c r="AS69" s="38" t="s">
        <v>83</v>
      </c>
      <c r="AT69" s="38" t="s">
        <v>83</v>
      </c>
      <c r="AU69" s="38" t="s">
        <v>111</v>
      </c>
      <c r="AV69" s="46"/>
      <c r="AW69" s="46"/>
      <c r="AX69" s="40"/>
      <c r="AY69" s="41" t="str">
        <f t="shared" si="24"/>
        <v>100-110</v>
      </c>
      <c r="AZ69" s="76"/>
      <c r="BA69" s="144"/>
      <c r="BB69" s="144"/>
      <c r="BC69" s="35"/>
      <c r="BD69" s="43"/>
      <c r="BE69" s="49"/>
      <c r="BF69" s="49"/>
      <c r="BG69" s="49"/>
      <c r="BH69" s="49"/>
      <c r="BI69" s="49"/>
      <c r="BJ69" s="49"/>
    </row>
    <row r="70" spans="1:62">
      <c r="A70" s="39" t="s">
        <v>186</v>
      </c>
      <c r="B70" s="39" t="s">
        <v>53</v>
      </c>
      <c r="C70" s="39" t="s">
        <v>92</v>
      </c>
      <c r="D70" s="39">
        <f t="shared" si="27"/>
        <v>1171800</v>
      </c>
      <c r="E70" s="64">
        <f t="shared" si="28"/>
        <v>1111800</v>
      </c>
      <c r="F70" s="179">
        <f t="shared" si="17"/>
        <v>0.71955387659651016</v>
      </c>
      <c r="G70" s="45">
        <v>800000</v>
      </c>
      <c r="H70" s="39">
        <f t="shared" si="31"/>
        <v>50000</v>
      </c>
      <c r="I70" s="57">
        <f t="shared" ref="I70:I101" si="35">SUM(J70:R70)</f>
        <v>207800</v>
      </c>
      <c r="J70" s="57"/>
      <c r="K70" s="39">
        <f>70000*1.08</f>
        <v>75600</v>
      </c>
      <c r="L70" s="39">
        <f>20000*1.08</f>
        <v>21600</v>
      </c>
      <c r="M70" s="39">
        <f>50000*1.08</f>
        <v>54000</v>
      </c>
      <c r="N70" s="39">
        <v>15000</v>
      </c>
      <c r="O70" s="39">
        <v>20000</v>
      </c>
      <c r="P70" s="39"/>
      <c r="Q70" s="39"/>
      <c r="R70" s="39">
        <f t="shared" si="32"/>
        <v>21600</v>
      </c>
      <c r="S70" s="65">
        <f t="shared" ref="S70:S101" si="36">SUM(T70:Y70)</f>
        <v>54000</v>
      </c>
      <c r="T70" s="68"/>
      <c r="U70" s="68"/>
      <c r="V70" s="39">
        <v>21600</v>
      </c>
      <c r="W70" s="39">
        <v>10800</v>
      </c>
      <c r="X70" s="39">
        <v>10800</v>
      </c>
      <c r="Y70" s="39">
        <v>10800</v>
      </c>
      <c r="Z70" s="59">
        <f t="shared" si="29"/>
        <v>30000</v>
      </c>
      <c r="AA70" s="60">
        <v>30000</v>
      </c>
      <c r="AB70" s="60">
        <v>20000</v>
      </c>
      <c r="AC70" s="60"/>
      <c r="AD70" s="59">
        <f t="shared" si="33"/>
        <v>0</v>
      </c>
      <c r="AE70" s="60"/>
      <c r="AF70" s="59">
        <f t="shared" si="30"/>
        <v>30000</v>
      </c>
      <c r="AG70" s="60">
        <v>30000</v>
      </c>
      <c r="AH70" s="59">
        <f t="shared" si="34"/>
        <v>0</v>
      </c>
      <c r="AI70" s="59"/>
      <c r="AJ70" s="59" t="s">
        <v>130</v>
      </c>
      <c r="AK70" s="66">
        <f t="shared" ref="AK70:AK101" si="37">24*24</f>
        <v>576</v>
      </c>
      <c r="AL70" s="44">
        <v>4</v>
      </c>
      <c r="AM70" s="37">
        <v>50</v>
      </c>
      <c r="AN70" s="37">
        <v>91</v>
      </c>
      <c r="AO70" s="70">
        <f t="shared" si="18"/>
        <v>50957500</v>
      </c>
      <c r="AP70" s="39" t="s">
        <v>60</v>
      </c>
      <c r="AQ70" s="38" t="s">
        <v>109</v>
      </c>
      <c r="AR70" s="38" t="s">
        <v>83</v>
      </c>
      <c r="AS70" s="38" t="s">
        <v>83</v>
      </c>
      <c r="AT70" s="38" t="s">
        <v>83</v>
      </c>
      <c r="AU70" s="38" t="s">
        <v>111</v>
      </c>
      <c r="AV70" s="46"/>
      <c r="AW70" s="46"/>
      <c r="AX70" s="40"/>
      <c r="AY70" s="41" t="str">
        <f t="shared" ref="AY70:AY101" si="38">VLOOKUP(E70,$BC$6:$BD$28,2)</f>
        <v>100-110</v>
      </c>
      <c r="AZ70" s="76"/>
      <c r="BA70" s="144"/>
      <c r="BB70" s="144"/>
      <c r="BC70" s="49"/>
      <c r="BD70" s="49"/>
      <c r="BE70" s="49"/>
      <c r="BF70" s="49"/>
      <c r="BG70" s="49"/>
      <c r="BH70" s="49"/>
      <c r="BI70" s="49"/>
      <c r="BJ70" s="49"/>
    </row>
    <row r="71" spans="1:62">
      <c r="A71" s="39" t="s">
        <v>186</v>
      </c>
      <c r="B71" s="39" t="s">
        <v>53</v>
      </c>
      <c r="C71" s="39" t="s">
        <v>92</v>
      </c>
      <c r="D71" s="39">
        <f t="shared" si="27"/>
        <v>1161000</v>
      </c>
      <c r="E71" s="64">
        <f t="shared" si="28"/>
        <v>1101000</v>
      </c>
      <c r="F71" s="179">
        <f t="shared" ref="F71:F134" si="39">G71/E71</f>
        <v>0.72661217075386009</v>
      </c>
      <c r="G71" s="45">
        <v>800000</v>
      </c>
      <c r="H71" s="39">
        <f t="shared" si="31"/>
        <v>50000</v>
      </c>
      <c r="I71" s="57">
        <f t="shared" si="35"/>
        <v>197000</v>
      </c>
      <c r="J71" s="57"/>
      <c r="K71" s="39">
        <f>100000*1.08</f>
        <v>108000</v>
      </c>
      <c r="L71" s="39">
        <f>30000*1.08</f>
        <v>32400.000000000004</v>
      </c>
      <c r="M71" s="39"/>
      <c r="N71" s="39">
        <v>15000</v>
      </c>
      <c r="O71" s="39">
        <v>20000</v>
      </c>
      <c r="P71" s="39"/>
      <c r="Q71" s="39"/>
      <c r="R71" s="39">
        <f t="shared" si="32"/>
        <v>21600</v>
      </c>
      <c r="S71" s="65">
        <f t="shared" si="36"/>
        <v>54000</v>
      </c>
      <c r="T71" s="68"/>
      <c r="U71" s="68"/>
      <c r="V71" s="39">
        <v>21600</v>
      </c>
      <c r="W71" s="39">
        <v>10800</v>
      </c>
      <c r="X71" s="39">
        <v>10800</v>
      </c>
      <c r="Y71" s="39">
        <v>10800</v>
      </c>
      <c r="Z71" s="59">
        <f t="shared" si="29"/>
        <v>30000</v>
      </c>
      <c r="AA71" s="60">
        <v>30000</v>
      </c>
      <c r="AB71" s="60">
        <v>20000</v>
      </c>
      <c r="AC71" s="60"/>
      <c r="AD71" s="59">
        <f t="shared" si="33"/>
        <v>0</v>
      </c>
      <c r="AE71" s="60"/>
      <c r="AF71" s="59">
        <f t="shared" si="30"/>
        <v>30000</v>
      </c>
      <c r="AG71" s="60">
        <v>30000</v>
      </c>
      <c r="AH71" s="59">
        <f t="shared" si="34"/>
        <v>0</v>
      </c>
      <c r="AI71" s="59"/>
      <c r="AJ71" s="59" t="s">
        <v>130</v>
      </c>
      <c r="AK71" s="66">
        <f t="shared" si="37"/>
        <v>576</v>
      </c>
      <c r="AL71" s="44">
        <v>4</v>
      </c>
      <c r="AM71" s="37">
        <v>50</v>
      </c>
      <c r="AN71" s="37">
        <v>91</v>
      </c>
      <c r="AO71" s="70">
        <f t="shared" ref="AO71:AO134" si="40">$AO$2*E71*$AO$4/AK71/$AO$3</f>
        <v>50462500</v>
      </c>
      <c r="AP71" s="39" t="s">
        <v>67</v>
      </c>
      <c r="AQ71" s="38" t="s">
        <v>109</v>
      </c>
      <c r="AR71" s="38" t="s">
        <v>83</v>
      </c>
      <c r="AS71" s="38" t="s">
        <v>83</v>
      </c>
      <c r="AT71" s="38" t="s">
        <v>83</v>
      </c>
      <c r="AU71" s="38" t="s">
        <v>111</v>
      </c>
      <c r="AV71" s="46"/>
      <c r="AW71" s="46"/>
      <c r="AX71" s="40"/>
      <c r="AY71" s="41" t="str">
        <f t="shared" si="38"/>
        <v>100-110</v>
      </c>
      <c r="AZ71" s="76"/>
      <c r="BA71" s="144"/>
      <c r="BB71" s="144"/>
      <c r="BC71" s="49"/>
      <c r="BD71" s="49"/>
      <c r="BE71" s="49"/>
      <c r="BF71" s="49"/>
      <c r="BG71" s="49"/>
      <c r="BH71" s="49"/>
      <c r="BI71" s="49"/>
      <c r="BJ71" s="49"/>
    </row>
    <row r="72" spans="1:62">
      <c r="A72" s="39" t="s">
        <v>186</v>
      </c>
      <c r="B72" s="39" t="s">
        <v>53</v>
      </c>
      <c r="C72" s="39" t="s">
        <v>54</v>
      </c>
      <c r="D72" s="39">
        <f t="shared" si="27"/>
        <v>1520400</v>
      </c>
      <c r="E72" s="64">
        <f t="shared" si="28"/>
        <v>1433400</v>
      </c>
      <c r="F72" s="179">
        <f t="shared" si="39"/>
        <v>0.55811357611273893</v>
      </c>
      <c r="G72" s="39">
        <v>800000</v>
      </c>
      <c r="H72" s="57">
        <f>$BF$7*AM72</f>
        <v>250000</v>
      </c>
      <c r="I72" s="57">
        <f t="shared" si="35"/>
        <v>329400</v>
      </c>
      <c r="J72" s="57"/>
      <c r="K72" s="39">
        <f>1.08*200000</f>
        <v>216000</v>
      </c>
      <c r="L72" s="39">
        <f>1.08*50000</f>
        <v>54000</v>
      </c>
      <c r="M72" s="39"/>
      <c r="N72" s="57">
        <f>15000*1.08</f>
        <v>16200.000000000002</v>
      </c>
      <c r="O72" s="57">
        <f>20000*1.08</f>
        <v>21600</v>
      </c>
      <c r="P72" s="57"/>
      <c r="Q72" s="57"/>
      <c r="R72" s="65">
        <f>$BF$7*AL72*1.08</f>
        <v>21600</v>
      </c>
      <c r="S72" s="65">
        <f t="shared" si="36"/>
        <v>54000</v>
      </c>
      <c r="T72" s="68"/>
      <c r="U72" s="68"/>
      <c r="V72" s="65">
        <v>21600</v>
      </c>
      <c r="W72" s="65">
        <v>10800</v>
      </c>
      <c r="X72" s="65">
        <v>10800</v>
      </c>
      <c r="Y72" s="65">
        <v>10800</v>
      </c>
      <c r="Z72" s="59">
        <f t="shared" si="29"/>
        <v>75000</v>
      </c>
      <c r="AA72" s="141">
        <v>55000</v>
      </c>
      <c r="AB72" s="141">
        <v>10000</v>
      </c>
      <c r="AC72" s="141">
        <f>$BF$10*AL72</f>
        <v>20000</v>
      </c>
      <c r="AD72" s="59">
        <f>$BF$11*AL72</f>
        <v>0</v>
      </c>
      <c r="AE72" s="141">
        <f>$BF$12*AL72</f>
        <v>40000</v>
      </c>
      <c r="AF72" s="59">
        <f t="shared" si="30"/>
        <v>12000</v>
      </c>
      <c r="AG72" s="141">
        <f>$BF$13*AL72</f>
        <v>12000</v>
      </c>
      <c r="AH72" s="59">
        <f>$BF$11*AL72</f>
        <v>0</v>
      </c>
      <c r="AI72" s="59"/>
      <c r="AJ72" s="59" t="s">
        <v>130</v>
      </c>
      <c r="AK72" s="66">
        <f t="shared" si="37"/>
        <v>576</v>
      </c>
      <c r="AL72" s="37">
        <v>4</v>
      </c>
      <c r="AM72" s="37">
        <v>50</v>
      </c>
      <c r="AN72" s="38">
        <v>91</v>
      </c>
      <c r="AO72" s="70">
        <f t="shared" si="40"/>
        <v>65697500</v>
      </c>
      <c r="AP72" s="39" t="s">
        <v>104</v>
      </c>
      <c r="AQ72" s="38" t="s">
        <v>109</v>
      </c>
      <c r="AR72" s="38" t="s">
        <v>83</v>
      </c>
      <c r="AS72" s="38" t="s">
        <v>83</v>
      </c>
      <c r="AT72" s="38" t="s">
        <v>83</v>
      </c>
      <c r="AU72" s="38" t="s">
        <v>111</v>
      </c>
      <c r="AV72" s="40"/>
      <c r="AW72" s="38"/>
      <c r="AX72" s="40"/>
      <c r="AY72" s="41" t="str">
        <f t="shared" si="38"/>
        <v>140-150</v>
      </c>
      <c r="AZ72" s="75"/>
      <c r="BA72" s="137"/>
      <c r="BB72" s="139"/>
      <c r="BC72" s="144"/>
      <c r="BD72" s="145"/>
      <c r="BE72" s="142"/>
      <c r="BF72" s="142"/>
      <c r="BG72" s="142"/>
      <c r="BH72" s="142"/>
      <c r="BI72" s="142"/>
      <c r="BJ72" s="142"/>
    </row>
    <row r="73" spans="1:62">
      <c r="A73" s="39" t="s">
        <v>186</v>
      </c>
      <c r="B73" s="39" t="s">
        <v>53</v>
      </c>
      <c r="C73" s="39" t="s">
        <v>92</v>
      </c>
      <c r="D73" s="39">
        <f t="shared" si="27"/>
        <v>1124400</v>
      </c>
      <c r="E73" s="64">
        <f t="shared" si="28"/>
        <v>1064400</v>
      </c>
      <c r="F73" s="179">
        <f t="shared" si="39"/>
        <v>0.61067267944381809</v>
      </c>
      <c r="G73" s="45">
        <v>650000</v>
      </c>
      <c r="H73" s="39">
        <f t="shared" ref="H73:H80" si="41">$BH$7*AM73</f>
        <v>50000</v>
      </c>
      <c r="I73" s="57">
        <f t="shared" si="35"/>
        <v>321200</v>
      </c>
      <c r="J73" s="57"/>
      <c r="K73" s="39">
        <f>1.08*200000</f>
        <v>216000</v>
      </c>
      <c r="L73" s="39">
        <f>1.08*50000</f>
        <v>54000</v>
      </c>
      <c r="M73" s="39"/>
      <c r="N73" s="39">
        <v>15000</v>
      </c>
      <c r="O73" s="39">
        <v>20000</v>
      </c>
      <c r="P73" s="39"/>
      <c r="Q73" s="39"/>
      <c r="R73" s="39">
        <f t="shared" ref="R73:R80" si="42">$BH$8*AL73*1.08</f>
        <v>16200.000000000002</v>
      </c>
      <c r="S73" s="65">
        <f t="shared" si="36"/>
        <v>43200</v>
      </c>
      <c r="T73" s="68"/>
      <c r="U73" s="68"/>
      <c r="V73" s="39">
        <v>21600</v>
      </c>
      <c r="W73" s="39">
        <v>10800</v>
      </c>
      <c r="X73" s="39">
        <v>10800</v>
      </c>
      <c r="Y73" s="39"/>
      <c r="Z73" s="59">
        <f t="shared" si="29"/>
        <v>30000</v>
      </c>
      <c r="AA73" s="60">
        <v>30000</v>
      </c>
      <c r="AB73" s="60">
        <v>20000</v>
      </c>
      <c r="AC73" s="60"/>
      <c r="AD73" s="59">
        <f t="shared" ref="AD73:AD80" si="43">$BH$11*AL73</f>
        <v>0</v>
      </c>
      <c r="AE73" s="60"/>
      <c r="AF73" s="59">
        <f t="shared" si="30"/>
        <v>30000</v>
      </c>
      <c r="AG73" s="60">
        <v>30000</v>
      </c>
      <c r="AH73" s="59">
        <f t="shared" ref="AH73:AH80" si="44">$BH$11*AL73</f>
        <v>0</v>
      </c>
      <c r="AI73" s="59"/>
      <c r="AJ73" s="59" t="s">
        <v>130</v>
      </c>
      <c r="AK73" s="66">
        <f t="shared" si="37"/>
        <v>576</v>
      </c>
      <c r="AL73" s="37">
        <v>3</v>
      </c>
      <c r="AM73" s="37">
        <v>50</v>
      </c>
      <c r="AN73" s="37">
        <v>81</v>
      </c>
      <c r="AO73" s="70">
        <f t="shared" si="40"/>
        <v>48785000</v>
      </c>
      <c r="AP73" s="39" t="s">
        <v>104</v>
      </c>
      <c r="AQ73" s="38" t="s">
        <v>109</v>
      </c>
      <c r="AR73" s="38" t="s">
        <v>83</v>
      </c>
      <c r="AS73" s="38" t="s">
        <v>83</v>
      </c>
      <c r="AT73" s="38" t="s">
        <v>83</v>
      </c>
      <c r="AU73" s="38" t="s">
        <v>111</v>
      </c>
      <c r="AV73" s="46">
        <v>20</v>
      </c>
      <c r="AW73" s="46">
        <v>18</v>
      </c>
      <c r="AX73" s="40">
        <f>E73*AW73</f>
        <v>19159200</v>
      </c>
      <c r="AY73" s="41" t="str">
        <f t="shared" si="38"/>
        <v>100-110</v>
      </c>
      <c r="AZ73" s="76"/>
      <c r="BA73" s="144"/>
      <c r="BB73" s="144"/>
      <c r="BC73" s="35"/>
      <c r="BD73" s="43"/>
      <c r="BE73" s="49"/>
      <c r="BF73" s="49"/>
      <c r="BG73" s="49"/>
      <c r="BH73" s="49"/>
      <c r="BI73" s="49"/>
      <c r="BJ73" s="49"/>
    </row>
    <row r="74" spans="1:62">
      <c r="A74" s="39" t="s">
        <v>186</v>
      </c>
      <c r="B74" s="39" t="s">
        <v>53</v>
      </c>
      <c r="C74" s="39" t="s">
        <v>92</v>
      </c>
      <c r="D74" s="39">
        <f t="shared" si="27"/>
        <v>1124400</v>
      </c>
      <c r="E74" s="64">
        <f t="shared" si="28"/>
        <v>1064400</v>
      </c>
      <c r="F74" s="179">
        <f t="shared" si="39"/>
        <v>0.61067267944381809</v>
      </c>
      <c r="G74" s="45">
        <v>650000</v>
      </c>
      <c r="H74" s="39">
        <f t="shared" si="41"/>
        <v>50000</v>
      </c>
      <c r="I74" s="57">
        <f t="shared" si="35"/>
        <v>321200</v>
      </c>
      <c r="J74" s="57"/>
      <c r="K74" s="39">
        <f>1.08*200000</f>
        <v>216000</v>
      </c>
      <c r="L74" s="39">
        <f>1.08*50000</f>
        <v>54000</v>
      </c>
      <c r="M74" s="39"/>
      <c r="N74" s="39">
        <v>15000</v>
      </c>
      <c r="O74" s="39">
        <v>20000</v>
      </c>
      <c r="P74" s="39"/>
      <c r="Q74" s="39"/>
      <c r="R74" s="39">
        <f t="shared" si="42"/>
        <v>16200.000000000002</v>
      </c>
      <c r="S74" s="65">
        <f t="shared" si="36"/>
        <v>43200</v>
      </c>
      <c r="T74" s="68"/>
      <c r="U74" s="68"/>
      <c r="V74" s="39">
        <v>21600</v>
      </c>
      <c r="W74" s="39">
        <v>10800</v>
      </c>
      <c r="X74" s="39">
        <v>10800</v>
      </c>
      <c r="Y74" s="39"/>
      <c r="Z74" s="59">
        <f t="shared" si="29"/>
        <v>30000</v>
      </c>
      <c r="AA74" s="60">
        <v>30000</v>
      </c>
      <c r="AB74" s="60">
        <v>20000</v>
      </c>
      <c r="AC74" s="60"/>
      <c r="AD74" s="59">
        <f t="shared" si="43"/>
        <v>0</v>
      </c>
      <c r="AE74" s="60"/>
      <c r="AF74" s="59">
        <f t="shared" si="30"/>
        <v>30000</v>
      </c>
      <c r="AG74" s="60">
        <v>30000</v>
      </c>
      <c r="AH74" s="59">
        <f t="shared" si="44"/>
        <v>0</v>
      </c>
      <c r="AI74" s="59"/>
      <c r="AJ74" s="59" t="s">
        <v>130</v>
      </c>
      <c r="AK74" s="66">
        <f t="shared" si="37"/>
        <v>576</v>
      </c>
      <c r="AL74" s="37">
        <v>3</v>
      </c>
      <c r="AM74" s="37">
        <v>50</v>
      </c>
      <c r="AN74" s="37">
        <v>81</v>
      </c>
      <c r="AO74" s="70">
        <f t="shared" si="40"/>
        <v>48785000</v>
      </c>
      <c r="AP74" s="39" t="s">
        <v>123</v>
      </c>
      <c r="AQ74" s="38" t="s">
        <v>109</v>
      </c>
      <c r="AR74" s="38" t="s">
        <v>83</v>
      </c>
      <c r="AS74" s="38" t="s">
        <v>83</v>
      </c>
      <c r="AT74" s="38" t="s">
        <v>83</v>
      </c>
      <c r="AU74" s="38" t="s">
        <v>111</v>
      </c>
      <c r="AV74" s="46"/>
      <c r="AW74" s="46"/>
      <c r="AX74" s="40"/>
      <c r="AY74" s="41" t="str">
        <f t="shared" si="38"/>
        <v>100-110</v>
      </c>
      <c r="AZ74" s="76"/>
      <c r="BA74" s="144"/>
      <c r="BB74" s="144"/>
      <c r="BC74" s="35"/>
      <c r="BD74" s="43"/>
      <c r="BE74" s="49"/>
      <c r="BF74" s="49"/>
      <c r="BG74" s="49"/>
      <c r="BH74" s="49"/>
      <c r="BI74" s="49"/>
      <c r="BJ74" s="49"/>
    </row>
    <row r="75" spans="1:62" s="49" customFormat="1">
      <c r="A75" s="39" t="s">
        <v>186</v>
      </c>
      <c r="B75" s="39" t="s">
        <v>53</v>
      </c>
      <c r="C75" s="39" t="s">
        <v>92</v>
      </c>
      <c r="D75" s="39">
        <f t="shared" si="27"/>
        <v>1124400</v>
      </c>
      <c r="E75" s="64">
        <f t="shared" si="28"/>
        <v>1064400</v>
      </c>
      <c r="F75" s="179">
        <f t="shared" si="39"/>
        <v>0.61067267944381809</v>
      </c>
      <c r="G75" s="45">
        <v>650000</v>
      </c>
      <c r="H75" s="39">
        <f t="shared" si="41"/>
        <v>50000</v>
      </c>
      <c r="I75" s="57">
        <f t="shared" si="35"/>
        <v>321200</v>
      </c>
      <c r="J75" s="57"/>
      <c r="K75" s="39">
        <f>1.08*200000</f>
        <v>216000</v>
      </c>
      <c r="L75" s="39">
        <f>1.08*50000</f>
        <v>54000</v>
      </c>
      <c r="M75" s="39"/>
      <c r="N75" s="39">
        <v>15000</v>
      </c>
      <c r="O75" s="39">
        <v>20000</v>
      </c>
      <c r="P75" s="39"/>
      <c r="Q75" s="39"/>
      <c r="R75" s="39">
        <f t="shared" si="42"/>
        <v>16200.000000000002</v>
      </c>
      <c r="S75" s="65">
        <f t="shared" si="36"/>
        <v>43200</v>
      </c>
      <c r="T75" s="68"/>
      <c r="U75" s="68"/>
      <c r="V75" s="39">
        <v>21600</v>
      </c>
      <c r="W75" s="39">
        <v>10800</v>
      </c>
      <c r="X75" s="39">
        <v>10800</v>
      </c>
      <c r="Y75" s="39"/>
      <c r="Z75" s="59">
        <f t="shared" si="29"/>
        <v>30000</v>
      </c>
      <c r="AA75" s="60">
        <v>30000</v>
      </c>
      <c r="AB75" s="60">
        <v>20000</v>
      </c>
      <c r="AC75" s="60"/>
      <c r="AD75" s="59">
        <f t="shared" si="43"/>
        <v>0</v>
      </c>
      <c r="AE75" s="60"/>
      <c r="AF75" s="59">
        <f t="shared" si="30"/>
        <v>30000</v>
      </c>
      <c r="AG75" s="60">
        <v>30000</v>
      </c>
      <c r="AH75" s="59">
        <f t="shared" si="44"/>
        <v>0</v>
      </c>
      <c r="AI75" s="59"/>
      <c r="AJ75" s="59" t="s">
        <v>130</v>
      </c>
      <c r="AK75" s="66">
        <f t="shared" si="37"/>
        <v>576</v>
      </c>
      <c r="AL75" s="37">
        <v>3</v>
      </c>
      <c r="AM75" s="37">
        <v>50</v>
      </c>
      <c r="AN75" s="37">
        <v>81</v>
      </c>
      <c r="AO75" s="70">
        <f t="shared" si="40"/>
        <v>48785000</v>
      </c>
      <c r="AP75" s="39" t="s">
        <v>105</v>
      </c>
      <c r="AQ75" s="38" t="s">
        <v>109</v>
      </c>
      <c r="AR75" s="38" t="s">
        <v>83</v>
      </c>
      <c r="AS75" s="38" t="s">
        <v>83</v>
      </c>
      <c r="AT75" s="38" t="s">
        <v>83</v>
      </c>
      <c r="AU75" s="38" t="s">
        <v>111</v>
      </c>
      <c r="AV75" s="46"/>
      <c r="AW75" s="46"/>
      <c r="AX75" s="40"/>
      <c r="AY75" s="41" t="str">
        <f t="shared" si="38"/>
        <v>100-110</v>
      </c>
      <c r="AZ75" s="76"/>
      <c r="BA75" s="144"/>
      <c r="BB75" s="144"/>
      <c r="BC75" s="35"/>
      <c r="BD75" s="43"/>
    </row>
    <row r="76" spans="1:62" s="49" customFormat="1">
      <c r="A76" s="39" t="s">
        <v>186</v>
      </c>
      <c r="B76" s="39" t="s">
        <v>53</v>
      </c>
      <c r="C76" s="39" t="s">
        <v>92</v>
      </c>
      <c r="D76" s="39">
        <f t="shared" si="27"/>
        <v>1121800</v>
      </c>
      <c r="E76" s="64">
        <f t="shared" si="28"/>
        <v>1061800</v>
      </c>
      <c r="F76" s="179">
        <f t="shared" si="39"/>
        <v>0.7063477114334149</v>
      </c>
      <c r="G76" s="45">
        <v>750000</v>
      </c>
      <c r="H76" s="39">
        <f t="shared" si="41"/>
        <v>50000</v>
      </c>
      <c r="I76" s="57">
        <f t="shared" si="35"/>
        <v>207800</v>
      </c>
      <c r="J76" s="57"/>
      <c r="K76" s="39">
        <f>70000*1.08</f>
        <v>75600</v>
      </c>
      <c r="L76" s="39">
        <f>20000*1.08</f>
        <v>21600</v>
      </c>
      <c r="M76" s="39">
        <f>50000*1.08</f>
        <v>54000</v>
      </c>
      <c r="N76" s="39">
        <v>15000</v>
      </c>
      <c r="O76" s="39">
        <v>20000</v>
      </c>
      <c r="P76" s="39"/>
      <c r="Q76" s="39"/>
      <c r="R76" s="39">
        <f t="shared" si="42"/>
        <v>21600</v>
      </c>
      <c r="S76" s="65">
        <f t="shared" si="36"/>
        <v>54000</v>
      </c>
      <c r="T76" s="68"/>
      <c r="U76" s="68"/>
      <c r="V76" s="39">
        <v>21600</v>
      </c>
      <c r="W76" s="39">
        <v>10800</v>
      </c>
      <c r="X76" s="39">
        <v>10800</v>
      </c>
      <c r="Y76" s="39">
        <v>10800</v>
      </c>
      <c r="Z76" s="59">
        <f t="shared" si="29"/>
        <v>30000</v>
      </c>
      <c r="AA76" s="60">
        <v>30000</v>
      </c>
      <c r="AB76" s="60">
        <v>20000</v>
      </c>
      <c r="AC76" s="60"/>
      <c r="AD76" s="59">
        <f t="shared" si="43"/>
        <v>0</v>
      </c>
      <c r="AE76" s="60"/>
      <c r="AF76" s="59">
        <f t="shared" si="30"/>
        <v>30000</v>
      </c>
      <c r="AG76" s="60">
        <v>30000</v>
      </c>
      <c r="AH76" s="59">
        <f t="shared" si="44"/>
        <v>0</v>
      </c>
      <c r="AI76" s="59"/>
      <c r="AJ76" s="59" t="s">
        <v>130</v>
      </c>
      <c r="AK76" s="66">
        <f t="shared" si="37"/>
        <v>576</v>
      </c>
      <c r="AL76" s="44">
        <v>4</v>
      </c>
      <c r="AM76" s="37">
        <v>50</v>
      </c>
      <c r="AN76" s="37">
        <v>91</v>
      </c>
      <c r="AO76" s="70">
        <f t="shared" si="40"/>
        <v>48665833.333333328</v>
      </c>
      <c r="AP76" s="39" t="s">
        <v>60</v>
      </c>
      <c r="AQ76" s="38" t="s">
        <v>109</v>
      </c>
      <c r="AR76" s="38" t="s">
        <v>83</v>
      </c>
      <c r="AS76" s="38" t="s">
        <v>83</v>
      </c>
      <c r="AT76" s="38" t="s">
        <v>83</v>
      </c>
      <c r="AU76" s="38" t="s">
        <v>111</v>
      </c>
      <c r="AV76" s="46"/>
      <c r="AW76" s="46"/>
      <c r="AX76" s="40"/>
      <c r="AY76" s="41" t="str">
        <f t="shared" si="38"/>
        <v>100-110</v>
      </c>
      <c r="AZ76" s="76"/>
      <c r="BA76" s="144"/>
      <c r="BB76" s="144"/>
      <c r="BC76" s="35"/>
      <c r="BD76" s="43"/>
    </row>
    <row r="77" spans="1:62" s="49" customFormat="1">
      <c r="A77" s="39" t="s">
        <v>186</v>
      </c>
      <c r="B77" s="39" t="s">
        <v>53</v>
      </c>
      <c r="C77" s="39" t="s">
        <v>92</v>
      </c>
      <c r="D77" s="39">
        <f t="shared" si="27"/>
        <v>1111000</v>
      </c>
      <c r="E77" s="64">
        <f t="shared" si="28"/>
        <v>1051000</v>
      </c>
      <c r="F77" s="179">
        <f t="shared" si="39"/>
        <v>0.71360608943862991</v>
      </c>
      <c r="G77" s="45">
        <v>750000</v>
      </c>
      <c r="H77" s="39">
        <f t="shared" si="41"/>
        <v>50000</v>
      </c>
      <c r="I77" s="57">
        <f t="shared" si="35"/>
        <v>197000</v>
      </c>
      <c r="J77" s="57"/>
      <c r="K77" s="39">
        <f>100000*1.08</f>
        <v>108000</v>
      </c>
      <c r="L77" s="39">
        <f>30000*1.08</f>
        <v>32400.000000000004</v>
      </c>
      <c r="M77" s="39"/>
      <c r="N77" s="39">
        <v>15000</v>
      </c>
      <c r="O77" s="39">
        <v>20000</v>
      </c>
      <c r="P77" s="39"/>
      <c r="Q77" s="39"/>
      <c r="R77" s="39">
        <f t="shared" si="42"/>
        <v>21600</v>
      </c>
      <c r="S77" s="65">
        <f t="shared" si="36"/>
        <v>54000</v>
      </c>
      <c r="T77" s="68"/>
      <c r="U77" s="68"/>
      <c r="V77" s="39">
        <v>21600</v>
      </c>
      <c r="W77" s="39">
        <v>10800</v>
      </c>
      <c r="X77" s="39">
        <v>10800</v>
      </c>
      <c r="Y77" s="39">
        <v>10800</v>
      </c>
      <c r="Z77" s="59">
        <f t="shared" si="29"/>
        <v>30000</v>
      </c>
      <c r="AA77" s="60">
        <v>30000</v>
      </c>
      <c r="AB77" s="60">
        <v>20000</v>
      </c>
      <c r="AC77" s="60"/>
      <c r="AD77" s="59">
        <f t="shared" si="43"/>
        <v>0</v>
      </c>
      <c r="AE77" s="60"/>
      <c r="AF77" s="59">
        <f t="shared" si="30"/>
        <v>30000</v>
      </c>
      <c r="AG77" s="60">
        <v>30000</v>
      </c>
      <c r="AH77" s="59">
        <f t="shared" si="44"/>
        <v>0</v>
      </c>
      <c r="AI77" s="59"/>
      <c r="AJ77" s="59" t="s">
        <v>130</v>
      </c>
      <c r="AK77" s="66">
        <f t="shared" si="37"/>
        <v>576</v>
      </c>
      <c r="AL77" s="44">
        <v>4</v>
      </c>
      <c r="AM77" s="37">
        <v>50</v>
      </c>
      <c r="AN77" s="37">
        <v>91</v>
      </c>
      <c r="AO77" s="70">
        <f t="shared" si="40"/>
        <v>48170833.333333328</v>
      </c>
      <c r="AP77" s="39" t="s">
        <v>67</v>
      </c>
      <c r="AQ77" s="38" t="s">
        <v>109</v>
      </c>
      <c r="AR77" s="38" t="s">
        <v>83</v>
      </c>
      <c r="AS77" s="38" t="s">
        <v>83</v>
      </c>
      <c r="AT77" s="38" t="s">
        <v>83</v>
      </c>
      <c r="AU77" s="38" t="s">
        <v>111</v>
      </c>
      <c r="AV77" s="46"/>
      <c r="AW77" s="46"/>
      <c r="AX77" s="40"/>
      <c r="AY77" s="41" t="str">
        <f t="shared" si="38"/>
        <v>100-110</v>
      </c>
      <c r="AZ77" s="76"/>
      <c r="BA77" s="144"/>
      <c r="BB77" s="144"/>
      <c r="BC77" s="35"/>
      <c r="BD77" s="43"/>
    </row>
    <row r="78" spans="1:62" s="49" customFormat="1">
      <c r="A78" s="39" t="s">
        <v>186</v>
      </c>
      <c r="B78" s="39" t="s">
        <v>53</v>
      </c>
      <c r="C78" s="39" t="s">
        <v>92</v>
      </c>
      <c r="D78" s="39">
        <f t="shared" si="27"/>
        <v>1109600</v>
      </c>
      <c r="E78" s="64">
        <f t="shared" si="28"/>
        <v>1049600</v>
      </c>
      <c r="F78" s="179">
        <f t="shared" si="39"/>
        <v>0.66692073170731703</v>
      </c>
      <c r="G78" s="45">
        <v>700000</v>
      </c>
      <c r="H78" s="39">
        <f t="shared" si="41"/>
        <v>50000</v>
      </c>
      <c r="I78" s="57">
        <f t="shared" si="35"/>
        <v>256400</v>
      </c>
      <c r="J78" s="57"/>
      <c r="K78" s="39">
        <f>150000*1.08</f>
        <v>162000</v>
      </c>
      <c r="L78" s="39">
        <f>40000*1.08</f>
        <v>43200</v>
      </c>
      <c r="M78" s="39"/>
      <c r="N78" s="39">
        <v>15000</v>
      </c>
      <c r="O78" s="39">
        <v>20000</v>
      </c>
      <c r="P78" s="39"/>
      <c r="Q78" s="39"/>
      <c r="R78" s="39">
        <f t="shared" si="42"/>
        <v>16200.000000000002</v>
      </c>
      <c r="S78" s="65">
        <f t="shared" si="36"/>
        <v>43200</v>
      </c>
      <c r="T78" s="68"/>
      <c r="U78" s="68"/>
      <c r="V78" s="39">
        <v>21600</v>
      </c>
      <c r="W78" s="39">
        <v>10800</v>
      </c>
      <c r="X78" s="39">
        <v>10800</v>
      </c>
      <c r="Y78" s="39"/>
      <c r="Z78" s="59">
        <f t="shared" si="29"/>
        <v>30000</v>
      </c>
      <c r="AA78" s="60">
        <v>30000</v>
      </c>
      <c r="AB78" s="60">
        <v>20000</v>
      </c>
      <c r="AC78" s="60"/>
      <c r="AD78" s="59">
        <f t="shared" si="43"/>
        <v>0</v>
      </c>
      <c r="AE78" s="60"/>
      <c r="AF78" s="59">
        <f t="shared" si="30"/>
        <v>30000</v>
      </c>
      <c r="AG78" s="60">
        <v>30000</v>
      </c>
      <c r="AH78" s="59">
        <f t="shared" si="44"/>
        <v>0</v>
      </c>
      <c r="AI78" s="59"/>
      <c r="AJ78" s="59" t="s">
        <v>130</v>
      </c>
      <c r="AK78" s="66">
        <f t="shared" si="37"/>
        <v>576</v>
      </c>
      <c r="AL78" s="37">
        <v>3</v>
      </c>
      <c r="AM78" s="37">
        <v>50</v>
      </c>
      <c r="AN78" s="37">
        <v>81</v>
      </c>
      <c r="AO78" s="70">
        <f t="shared" si="40"/>
        <v>48106666.666666664</v>
      </c>
      <c r="AP78" s="39" t="s">
        <v>124</v>
      </c>
      <c r="AQ78" s="38" t="s">
        <v>109</v>
      </c>
      <c r="AR78" s="38" t="s">
        <v>83</v>
      </c>
      <c r="AS78" s="38" t="s">
        <v>83</v>
      </c>
      <c r="AT78" s="38" t="s">
        <v>83</v>
      </c>
      <c r="AU78" s="38" t="s">
        <v>111</v>
      </c>
      <c r="AV78" s="46"/>
      <c r="AW78" s="46"/>
      <c r="AX78" s="40"/>
      <c r="AY78" s="41" t="str">
        <f t="shared" si="38"/>
        <v>100-110</v>
      </c>
      <c r="AZ78" s="76"/>
      <c r="BA78" s="144"/>
      <c r="BB78" s="144"/>
      <c r="BC78" s="35"/>
      <c r="BD78" s="43"/>
    </row>
    <row r="79" spans="1:62" s="49" customFormat="1">
      <c r="A79" s="39" t="s">
        <v>186</v>
      </c>
      <c r="B79" s="39" t="s">
        <v>53</v>
      </c>
      <c r="C79" s="39" t="s">
        <v>92</v>
      </c>
      <c r="D79" s="39">
        <f t="shared" si="27"/>
        <v>1109600</v>
      </c>
      <c r="E79" s="64">
        <f t="shared" si="28"/>
        <v>1049600</v>
      </c>
      <c r="F79" s="179">
        <f t="shared" si="39"/>
        <v>0.66692073170731703</v>
      </c>
      <c r="G79" s="45">
        <v>700000</v>
      </c>
      <c r="H79" s="39">
        <f t="shared" si="41"/>
        <v>50000</v>
      </c>
      <c r="I79" s="57">
        <f t="shared" si="35"/>
        <v>256400</v>
      </c>
      <c r="J79" s="57"/>
      <c r="K79" s="39">
        <f>150000*1.08</f>
        <v>162000</v>
      </c>
      <c r="L79" s="39">
        <f>40000*1.08</f>
        <v>43200</v>
      </c>
      <c r="M79" s="39"/>
      <c r="N79" s="39">
        <v>15000</v>
      </c>
      <c r="O79" s="39">
        <v>20000</v>
      </c>
      <c r="P79" s="39"/>
      <c r="Q79" s="39"/>
      <c r="R79" s="39">
        <f t="shared" si="42"/>
        <v>16200.000000000002</v>
      </c>
      <c r="S79" s="65">
        <f t="shared" si="36"/>
        <v>43200</v>
      </c>
      <c r="T79" s="68"/>
      <c r="U79" s="68"/>
      <c r="V79" s="39">
        <v>21600</v>
      </c>
      <c r="W79" s="39">
        <v>10800</v>
      </c>
      <c r="X79" s="39">
        <v>10800</v>
      </c>
      <c r="Y79" s="39"/>
      <c r="Z79" s="59">
        <f t="shared" si="29"/>
        <v>30000</v>
      </c>
      <c r="AA79" s="60">
        <v>30000</v>
      </c>
      <c r="AB79" s="60">
        <v>20000</v>
      </c>
      <c r="AC79" s="60"/>
      <c r="AD79" s="59">
        <f t="shared" si="43"/>
        <v>0</v>
      </c>
      <c r="AE79" s="60"/>
      <c r="AF79" s="59">
        <f t="shared" si="30"/>
        <v>30000</v>
      </c>
      <c r="AG79" s="60">
        <v>30000</v>
      </c>
      <c r="AH79" s="59">
        <f t="shared" si="44"/>
        <v>0</v>
      </c>
      <c r="AI79" s="59"/>
      <c r="AJ79" s="59" t="s">
        <v>130</v>
      </c>
      <c r="AK79" s="66">
        <f t="shared" si="37"/>
        <v>576</v>
      </c>
      <c r="AL79" s="37">
        <v>3</v>
      </c>
      <c r="AM79" s="37">
        <v>50</v>
      </c>
      <c r="AN79" s="37">
        <v>81</v>
      </c>
      <c r="AO79" s="70">
        <f t="shared" si="40"/>
        <v>48106666.666666664</v>
      </c>
      <c r="AP79" s="39" t="s">
        <v>125</v>
      </c>
      <c r="AQ79" s="38" t="s">
        <v>109</v>
      </c>
      <c r="AR79" s="38" t="s">
        <v>83</v>
      </c>
      <c r="AS79" s="38" t="s">
        <v>83</v>
      </c>
      <c r="AT79" s="38" t="s">
        <v>83</v>
      </c>
      <c r="AU79" s="38" t="s">
        <v>111</v>
      </c>
      <c r="AV79" s="46"/>
      <c r="AW79" s="46"/>
      <c r="AX79" s="40"/>
      <c r="AY79" s="41" t="str">
        <f t="shared" si="38"/>
        <v>100-110</v>
      </c>
      <c r="AZ79" s="76"/>
      <c r="BA79" s="144"/>
      <c r="BB79" s="144"/>
      <c r="BC79" s="35"/>
      <c r="BD79" s="43"/>
    </row>
    <row r="80" spans="1:62" s="49" customFormat="1">
      <c r="A80" s="39" t="s">
        <v>186</v>
      </c>
      <c r="B80" s="39" t="s">
        <v>53</v>
      </c>
      <c r="C80" s="39" t="s">
        <v>92</v>
      </c>
      <c r="D80" s="39">
        <f t="shared" si="27"/>
        <v>1109600</v>
      </c>
      <c r="E80" s="64">
        <f t="shared" si="28"/>
        <v>1049600</v>
      </c>
      <c r="F80" s="179">
        <f t="shared" si="39"/>
        <v>0.66692073170731703</v>
      </c>
      <c r="G80" s="45">
        <v>700000</v>
      </c>
      <c r="H80" s="39">
        <f t="shared" si="41"/>
        <v>50000</v>
      </c>
      <c r="I80" s="57">
        <f t="shared" si="35"/>
        <v>256400</v>
      </c>
      <c r="J80" s="57"/>
      <c r="K80" s="39">
        <f>150000*1.08</f>
        <v>162000</v>
      </c>
      <c r="L80" s="39">
        <f>40000*1.08</f>
        <v>43200</v>
      </c>
      <c r="M80" s="39"/>
      <c r="N80" s="39">
        <v>15000</v>
      </c>
      <c r="O80" s="39">
        <v>20000</v>
      </c>
      <c r="P80" s="39"/>
      <c r="Q80" s="39"/>
      <c r="R80" s="39">
        <f t="shared" si="42"/>
        <v>16200.000000000002</v>
      </c>
      <c r="S80" s="65">
        <f t="shared" si="36"/>
        <v>43200</v>
      </c>
      <c r="T80" s="68"/>
      <c r="U80" s="68"/>
      <c r="V80" s="39">
        <v>21600</v>
      </c>
      <c r="W80" s="39">
        <v>10800</v>
      </c>
      <c r="X80" s="39">
        <v>10800</v>
      </c>
      <c r="Y80" s="39"/>
      <c r="Z80" s="59">
        <f t="shared" si="29"/>
        <v>30000</v>
      </c>
      <c r="AA80" s="60">
        <v>30000</v>
      </c>
      <c r="AB80" s="60">
        <v>20000</v>
      </c>
      <c r="AC80" s="60"/>
      <c r="AD80" s="59">
        <f t="shared" si="43"/>
        <v>0</v>
      </c>
      <c r="AE80" s="60"/>
      <c r="AF80" s="59">
        <f t="shared" si="30"/>
        <v>30000</v>
      </c>
      <c r="AG80" s="60">
        <v>30000</v>
      </c>
      <c r="AH80" s="59">
        <f t="shared" si="44"/>
        <v>0</v>
      </c>
      <c r="AI80" s="59"/>
      <c r="AJ80" s="59" t="s">
        <v>130</v>
      </c>
      <c r="AK80" s="66">
        <f t="shared" si="37"/>
        <v>576</v>
      </c>
      <c r="AL80" s="37">
        <v>3</v>
      </c>
      <c r="AM80" s="37">
        <v>50</v>
      </c>
      <c r="AN80" s="37">
        <v>81</v>
      </c>
      <c r="AO80" s="70">
        <f t="shared" si="40"/>
        <v>48106666.666666664</v>
      </c>
      <c r="AP80" s="39" t="s">
        <v>102</v>
      </c>
      <c r="AQ80" s="38" t="s">
        <v>109</v>
      </c>
      <c r="AR80" s="38" t="s">
        <v>83</v>
      </c>
      <c r="AS80" s="38" t="s">
        <v>83</v>
      </c>
      <c r="AT80" s="38" t="s">
        <v>83</v>
      </c>
      <c r="AU80" s="38" t="s">
        <v>111</v>
      </c>
      <c r="AV80" s="46"/>
      <c r="AW80" s="46"/>
      <c r="AX80" s="40"/>
      <c r="AY80" s="41" t="str">
        <f t="shared" si="38"/>
        <v>100-110</v>
      </c>
      <c r="AZ80" s="76"/>
      <c r="BA80" s="144"/>
      <c r="BB80" s="144"/>
      <c r="BC80" s="35"/>
      <c r="BD80" s="43"/>
    </row>
    <row r="81" spans="1:62" s="49" customFormat="1">
      <c r="A81" s="39" t="s">
        <v>186</v>
      </c>
      <c r="B81" s="39" t="s">
        <v>53</v>
      </c>
      <c r="C81" s="39" t="s">
        <v>54</v>
      </c>
      <c r="D81" s="39">
        <f t="shared" si="27"/>
        <v>1520400</v>
      </c>
      <c r="E81" s="64">
        <f t="shared" si="28"/>
        <v>1433400</v>
      </c>
      <c r="F81" s="179">
        <f t="shared" si="39"/>
        <v>0.55811357611273893</v>
      </c>
      <c r="G81" s="39">
        <v>800000</v>
      </c>
      <c r="H81" s="57">
        <f>$BF$7*AM81</f>
        <v>250000</v>
      </c>
      <c r="I81" s="57">
        <f t="shared" si="35"/>
        <v>329400</v>
      </c>
      <c r="J81" s="57"/>
      <c r="K81" s="39">
        <f>1.08*200000</f>
        <v>216000</v>
      </c>
      <c r="L81" s="39">
        <f>1.08*50000</f>
        <v>54000</v>
      </c>
      <c r="M81" s="39"/>
      <c r="N81" s="57">
        <f>15000*1.08</f>
        <v>16200.000000000002</v>
      </c>
      <c r="O81" s="57">
        <f>20000*1.08</f>
        <v>21600</v>
      </c>
      <c r="P81" s="57"/>
      <c r="Q81" s="57"/>
      <c r="R81" s="65">
        <f>$BF$7*AL81*1.08</f>
        <v>21600</v>
      </c>
      <c r="S81" s="65">
        <f t="shared" si="36"/>
        <v>54000</v>
      </c>
      <c r="T81" s="68"/>
      <c r="U81" s="68"/>
      <c r="V81" s="65">
        <v>21600</v>
      </c>
      <c r="W81" s="65">
        <v>10800</v>
      </c>
      <c r="X81" s="65">
        <v>10800</v>
      </c>
      <c r="Y81" s="65">
        <v>10800</v>
      </c>
      <c r="Z81" s="59">
        <f t="shared" si="29"/>
        <v>75000</v>
      </c>
      <c r="AA81" s="141">
        <v>55000</v>
      </c>
      <c r="AB81" s="141">
        <v>10000</v>
      </c>
      <c r="AC81" s="141">
        <f>$BF$10*AL81</f>
        <v>20000</v>
      </c>
      <c r="AD81" s="59">
        <f>$BF$11*AL81</f>
        <v>0</v>
      </c>
      <c r="AE81" s="141">
        <f>$BF$12*AL81</f>
        <v>40000</v>
      </c>
      <c r="AF81" s="59">
        <f t="shared" si="30"/>
        <v>12000</v>
      </c>
      <c r="AG81" s="141">
        <f>$BF$13*AL81</f>
        <v>12000</v>
      </c>
      <c r="AH81" s="59">
        <f>$BF$11*AL81</f>
        <v>0</v>
      </c>
      <c r="AI81" s="59"/>
      <c r="AJ81" s="59" t="s">
        <v>130</v>
      </c>
      <c r="AK81" s="66">
        <f t="shared" si="37"/>
        <v>576</v>
      </c>
      <c r="AL81" s="37">
        <v>4</v>
      </c>
      <c r="AM81" s="37">
        <v>50</v>
      </c>
      <c r="AN81" s="38">
        <v>91</v>
      </c>
      <c r="AO81" s="70">
        <f t="shared" si="40"/>
        <v>65697500</v>
      </c>
      <c r="AP81" s="39" t="s">
        <v>105</v>
      </c>
      <c r="AQ81" s="38" t="s">
        <v>109</v>
      </c>
      <c r="AR81" s="38" t="s">
        <v>83</v>
      </c>
      <c r="AS81" s="38" t="s">
        <v>83</v>
      </c>
      <c r="AT81" s="38" t="s">
        <v>83</v>
      </c>
      <c r="AU81" s="38" t="s">
        <v>111</v>
      </c>
      <c r="AV81" s="40"/>
      <c r="AW81" s="38"/>
      <c r="AX81" s="40"/>
      <c r="AY81" s="41" t="str">
        <f t="shared" si="38"/>
        <v>140-150</v>
      </c>
      <c r="AZ81" s="75"/>
      <c r="BA81" s="137"/>
      <c r="BB81" s="139"/>
      <c r="BC81" s="144"/>
      <c r="BD81" s="145"/>
      <c r="BE81" s="142"/>
      <c r="BF81" s="142"/>
      <c r="BG81" s="142"/>
      <c r="BH81" s="142"/>
      <c r="BI81" s="142"/>
      <c r="BJ81" s="142"/>
    </row>
    <row r="82" spans="1:62" s="49" customFormat="1">
      <c r="A82" s="39" t="s">
        <v>186</v>
      </c>
      <c r="B82" s="39" t="s">
        <v>53</v>
      </c>
      <c r="C82" s="39" t="s">
        <v>54</v>
      </c>
      <c r="D82" s="39">
        <f t="shared" si="27"/>
        <v>1570400</v>
      </c>
      <c r="E82" s="64">
        <f t="shared" si="28"/>
        <v>1483400</v>
      </c>
      <c r="F82" s="179">
        <f t="shared" si="39"/>
        <v>0.57300795469866528</v>
      </c>
      <c r="G82" s="39">
        <v>850000</v>
      </c>
      <c r="H82" s="57">
        <f>$BF$7*AM82</f>
        <v>250000</v>
      </c>
      <c r="I82" s="57">
        <f t="shared" si="35"/>
        <v>329400</v>
      </c>
      <c r="J82" s="57"/>
      <c r="K82" s="39">
        <f>1.08*200000</f>
        <v>216000</v>
      </c>
      <c r="L82" s="39">
        <f>1.08*50000</f>
        <v>54000</v>
      </c>
      <c r="M82" s="39"/>
      <c r="N82" s="57">
        <f>15000*1.08</f>
        <v>16200.000000000002</v>
      </c>
      <c r="O82" s="57">
        <f>20000*1.08</f>
        <v>21600</v>
      </c>
      <c r="P82" s="57"/>
      <c r="Q82" s="57"/>
      <c r="R82" s="65">
        <f>$BF$7*AL82*1.08</f>
        <v>21600</v>
      </c>
      <c r="S82" s="65">
        <f t="shared" si="36"/>
        <v>54000</v>
      </c>
      <c r="T82" s="68"/>
      <c r="U82" s="68"/>
      <c r="V82" s="65">
        <v>21600</v>
      </c>
      <c r="W82" s="65">
        <v>10800</v>
      </c>
      <c r="X82" s="65">
        <v>10800</v>
      </c>
      <c r="Y82" s="65">
        <v>10800</v>
      </c>
      <c r="Z82" s="59">
        <f t="shared" si="29"/>
        <v>75000</v>
      </c>
      <c r="AA82" s="141">
        <v>55000</v>
      </c>
      <c r="AB82" s="141">
        <v>10000</v>
      </c>
      <c r="AC82" s="141">
        <f>$BF$10*AL82</f>
        <v>20000</v>
      </c>
      <c r="AD82" s="59">
        <f>$BF$11*AL82</f>
        <v>0</v>
      </c>
      <c r="AE82" s="141">
        <f>$BF$12*AL82</f>
        <v>40000</v>
      </c>
      <c r="AF82" s="59">
        <f t="shared" si="30"/>
        <v>12000</v>
      </c>
      <c r="AG82" s="141">
        <f>$BF$13*AL82</f>
        <v>12000</v>
      </c>
      <c r="AH82" s="59">
        <f>$BF$11*AL82</f>
        <v>0</v>
      </c>
      <c r="AI82" s="59"/>
      <c r="AJ82" s="59" t="s">
        <v>130</v>
      </c>
      <c r="AK82" s="66">
        <f t="shared" si="37"/>
        <v>576</v>
      </c>
      <c r="AL82" s="37">
        <v>4</v>
      </c>
      <c r="AM82" s="37">
        <v>50</v>
      </c>
      <c r="AN82" s="38">
        <v>91</v>
      </c>
      <c r="AO82" s="70">
        <f t="shared" si="40"/>
        <v>67989166.666666672</v>
      </c>
      <c r="AP82" s="39" t="s">
        <v>103</v>
      </c>
      <c r="AQ82" s="38" t="s">
        <v>109</v>
      </c>
      <c r="AR82" s="38" t="s">
        <v>83</v>
      </c>
      <c r="AS82" s="38" t="s">
        <v>83</v>
      </c>
      <c r="AT82" s="38" t="s">
        <v>83</v>
      </c>
      <c r="AU82" s="38" t="s">
        <v>111</v>
      </c>
      <c r="AV82" s="40"/>
      <c r="AW82" s="38"/>
      <c r="AX82" s="40"/>
      <c r="AY82" s="41" t="str">
        <f t="shared" si="38"/>
        <v>140-150</v>
      </c>
      <c r="AZ82" s="75"/>
      <c r="BA82" s="137"/>
      <c r="BB82" s="139"/>
      <c r="BC82" s="144"/>
      <c r="BD82" s="145"/>
      <c r="BE82" s="142"/>
      <c r="BF82" s="142"/>
      <c r="BG82" s="142"/>
      <c r="BH82" s="142"/>
      <c r="BI82" s="142"/>
      <c r="BJ82" s="142"/>
    </row>
    <row r="83" spans="1:62" s="49" customFormat="1">
      <c r="A83" s="39" t="s">
        <v>186</v>
      </c>
      <c r="B83" s="39" t="s">
        <v>53</v>
      </c>
      <c r="C83" s="39" t="s">
        <v>92</v>
      </c>
      <c r="D83" s="39">
        <f t="shared" si="27"/>
        <v>1074400</v>
      </c>
      <c r="E83" s="64">
        <f t="shared" si="28"/>
        <v>1014400</v>
      </c>
      <c r="F83" s="179">
        <f t="shared" si="39"/>
        <v>0.59148264984227128</v>
      </c>
      <c r="G83" s="45">
        <v>600000</v>
      </c>
      <c r="H83" s="39">
        <f t="shared" ref="H83:H90" si="45">$BH$7*AM83</f>
        <v>50000</v>
      </c>
      <c r="I83" s="57">
        <f t="shared" si="35"/>
        <v>321200</v>
      </c>
      <c r="J83" s="57"/>
      <c r="K83" s="39">
        <f>1.08*200000</f>
        <v>216000</v>
      </c>
      <c r="L83" s="39">
        <f>1.08*50000</f>
        <v>54000</v>
      </c>
      <c r="M83" s="39"/>
      <c r="N83" s="39">
        <v>15000</v>
      </c>
      <c r="O83" s="39">
        <v>20000</v>
      </c>
      <c r="P83" s="39"/>
      <c r="Q83" s="39"/>
      <c r="R83" s="39">
        <f t="shared" ref="R83:R90" si="46">$BH$8*AL83*1.08</f>
        <v>16200.000000000002</v>
      </c>
      <c r="S83" s="65">
        <f t="shared" si="36"/>
        <v>43200</v>
      </c>
      <c r="T83" s="68"/>
      <c r="U83" s="68"/>
      <c r="V83" s="39">
        <v>21600</v>
      </c>
      <c r="W83" s="39">
        <v>10800</v>
      </c>
      <c r="X83" s="39">
        <v>10800</v>
      </c>
      <c r="Y83" s="39"/>
      <c r="Z83" s="59">
        <f t="shared" si="29"/>
        <v>30000</v>
      </c>
      <c r="AA83" s="60">
        <v>30000</v>
      </c>
      <c r="AB83" s="60">
        <v>20000</v>
      </c>
      <c r="AC83" s="60"/>
      <c r="AD83" s="59">
        <f t="shared" ref="AD83:AD90" si="47">$BH$11*AL83</f>
        <v>0</v>
      </c>
      <c r="AE83" s="60"/>
      <c r="AF83" s="59">
        <f t="shared" si="30"/>
        <v>30000</v>
      </c>
      <c r="AG83" s="60">
        <v>30000</v>
      </c>
      <c r="AH83" s="59">
        <f t="shared" ref="AH83:AH90" si="48">$BH$11*AL83</f>
        <v>0</v>
      </c>
      <c r="AI83" s="59"/>
      <c r="AJ83" s="59" t="s">
        <v>130</v>
      </c>
      <c r="AK83" s="66">
        <f t="shared" si="37"/>
        <v>576</v>
      </c>
      <c r="AL83" s="37">
        <v>3</v>
      </c>
      <c r="AM83" s="37">
        <v>50</v>
      </c>
      <c r="AN83" s="37">
        <v>81</v>
      </c>
      <c r="AO83" s="70">
        <f t="shared" si="40"/>
        <v>46493333.333333328</v>
      </c>
      <c r="AP83" s="39" t="s">
        <v>104</v>
      </c>
      <c r="AQ83" s="38" t="s">
        <v>109</v>
      </c>
      <c r="AR83" s="38" t="s">
        <v>83</v>
      </c>
      <c r="AS83" s="38" t="s">
        <v>83</v>
      </c>
      <c r="AT83" s="38" t="s">
        <v>83</v>
      </c>
      <c r="AU83" s="38" t="s">
        <v>111</v>
      </c>
      <c r="AV83" s="46">
        <v>19</v>
      </c>
      <c r="AW83" s="46">
        <v>16</v>
      </c>
      <c r="AX83" s="40">
        <f>E83*AW83</f>
        <v>16230400</v>
      </c>
      <c r="AY83" s="41" t="str">
        <f t="shared" si="38"/>
        <v>100-110</v>
      </c>
      <c r="AZ83" s="76"/>
      <c r="BA83" s="144"/>
      <c r="BB83" s="144"/>
      <c r="BC83" s="35"/>
      <c r="BD83" s="43"/>
    </row>
    <row r="84" spans="1:62" s="49" customFormat="1">
      <c r="A84" s="39" t="s">
        <v>186</v>
      </c>
      <c r="B84" s="39" t="s">
        <v>53</v>
      </c>
      <c r="C84" s="39" t="s">
        <v>92</v>
      </c>
      <c r="D84" s="39">
        <f t="shared" si="27"/>
        <v>1074400</v>
      </c>
      <c r="E84" s="64">
        <f t="shared" si="28"/>
        <v>1014400</v>
      </c>
      <c r="F84" s="179">
        <f t="shared" si="39"/>
        <v>0.59148264984227128</v>
      </c>
      <c r="G84" s="45">
        <v>600000</v>
      </c>
      <c r="H84" s="39">
        <f t="shared" si="45"/>
        <v>50000</v>
      </c>
      <c r="I84" s="57">
        <f t="shared" si="35"/>
        <v>321200</v>
      </c>
      <c r="J84" s="57"/>
      <c r="K84" s="39">
        <f>1.08*200000</f>
        <v>216000</v>
      </c>
      <c r="L84" s="39">
        <f>1.08*50000</f>
        <v>54000</v>
      </c>
      <c r="M84" s="39"/>
      <c r="N84" s="39">
        <v>15000</v>
      </c>
      <c r="O84" s="39">
        <v>20000</v>
      </c>
      <c r="P84" s="39"/>
      <c r="Q84" s="39"/>
      <c r="R84" s="39">
        <f t="shared" si="46"/>
        <v>16200.000000000002</v>
      </c>
      <c r="S84" s="65">
        <f t="shared" si="36"/>
        <v>43200</v>
      </c>
      <c r="T84" s="68"/>
      <c r="U84" s="68"/>
      <c r="V84" s="39">
        <v>21600</v>
      </c>
      <c r="W84" s="39">
        <v>10800</v>
      </c>
      <c r="X84" s="39">
        <v>10800</v>
      </c>
      <c r="Y84" s="39"/>
      <c r="Z84" s="59">
        <f t="shared" si="29"/>
        <v>30000</v>
      </c>
      <c r="AA84" s="60">
        <v>30000</v>
      </c>
      <c r="AB84" s="60">
        <v>20000</v>
      </c>
      <c r="AC84" s="60"/>
      <c r="AD84" s="59">
        <f t="shared" si="47"/>
        <v>0</v>
      </c>
      <c r="AE84" s="60"/>
      <c r="AF84" s="59">
        <f t="shared" si="30"/>
        <v>30000</v>
      </c>
      <c r="AG84" s="60">
        <v>30000</v>
      </c>
      <c r="AH84" s="59">
        <f t="shared" si="48"/>
        <v>0</v>
      </c>
      <c r="AI84" s="59"/>
      <c r="AJ84" s="59" t="s">
        <v>130</v>
      </c>
      <c r="AK84" s="66">
        <f t="shared" si="37"/>
        <v>576</v>
      </c>
      <c r="AL84" s="37">
        <v>3</v>
      </c>
      <c r="AM84" s="37">
        <v>50</v>
      </c>
      <c r="AN84" s="37">
        <v>81</v>
      </c>
      <c r="AO84" s="70">
        <f t="shared" si="40"/>
        <v>46493333.333333328</v>
      </c>
      <c r="AP84" s="39" t="s">
        <v>123</v>
      </c>
      <c r="AQ84" s="38" t="s">
        <v>109</v>
      </c>
      <c r="AR84" s="38" t="s">
        <v>83</v>
      </c>
      <c r="AS84" s="38" t="s">
        <v>83</v>
      </c>
      <c r="AT84" s="38" t="s">
        <v>83</v>
      </c>
      <c r="AU84" s="38" t="s">
        <v>111</v>
      </c>
      <c r="AV84" s="46"/>
      <c r="AW84" s="46"/>
      <c r="AX84" s="40"/>
      <c r="AY84" s="41" t="str">
        <f t="shared" si="38"/>
        <v>100-110</v>
      </c>
      <c r="AZ84" s="76"/>
      <c r="BA84" s="47"/>
      <c r="BB84" s="47"/>
      <c r="BC84" s="35"/>
      <c r="BD84" s="43"/>
    </row>
    <row r="85" spans="1:62" s="49" customFormat="1">
      <c r="A85" s="39" t="s">
        <v>186</v>
      </c>
      <c r="B85" s="39" t="s">
        <v>53</v>
      </c>
      <c r="C85" s="39" t="s">
        <v>92</v>
      </c>
      <c r="D85" s="39">
        <f t="shared" si="27"/>
        <v>1074400</v>
      </c>
      <c r="E85" s="64">
        <f t="shared" si="28"/>
        <v>1014400</v>
      </c>
      <c r="F85" s="179">
        <f t="shared" si="39"/>
        <v>0.59148264984227128</v>
      </c>
      <c r="G85" s="45">
        <v>600000</v>
      </c>
      <c r="H85" s="39">
        <f t="shared" si="45"/>
        <v>50000</v>
      </c>
      <c r="I85" s="57">
        <f t="shared" si="35"/>
        <v>321200</v>
      </c>
      <c r="J85" s="57"/>
      <c r="K85" s="39">
        <f>1.08*200000</f>
        <v>216000</v>
      </c>
      <c r="L85" s="39">
        <f>1.08*50000</f>
        <v>54000</v>
      </c>
      <c r="M85" s="39"/>
      <c r="N85" s="39">
        <v>15000</v>
      </c>
      <c r="O85" s="39">
        <v>20000</v>
      </c>
      <c r="P85" s="39"/>
      <c r="Q85" s="39"/>
      <c r="R85" s="39">
        <f t="shared" si="46"/>
        <v>16200.000000000002</v>
      </c>
      <c r="S85" s="65">
        <f t="shared" si="36"/>
        <v>43200</v>
      </c>
      <c r="T85" s="68"/>
      <c r="U85" s="68"/>
      <c r="V85" s="39">
        <v>21600</v>
      </c>
      <c r="W85" s="39">
        <v>10800</v>
      </c>
      <c r="X85" s="39">
        <v>10800</v>
      </c>
      <c r="Y85" s="39"/>
      <c r="Z85" s="59">
        <f t="shared" si="29"/>
        <v>30000</v>
      </c>
      <c r="AA85" s="60">
        <v>30000</v>
      </c>
      <c r="AB85" s="60">
        <v>20000</v>
      </c>
      <c r="AC85" s="60"/>
      <c r="AD85" s="59">
        <f t="shared" si="47"/>
        <v>0</v>
      </c>
      <c r="AE85" s="60"/>
      <c r="AF85" s="59">
        <f t="shared" si="30"/>
        <v>30000</v>
      </c>
      <c r="AG85" s="60">
        <v>30000</v>
      </c>
      <c r="AH85" s="59">
        <f t="shared" si="48"/>
        <v>0</v>
      </c>
      <c r="AI85" s="59"/>
      <c r="AJ85" s="59" t="s">
        <v>130</v>
      </c>
      <c r="AK85" s="66">
        <f t="shared" si="37"/>
        <v>576</v>
      </c>
      <c r="AL85" s="37">
        <v>3</v>
      </c>
      <c r="AM85" s="37">
        <v>50</v>
      </c>
      <c r="AN85" s="37">
        <v>81</v>
      </c>
      <c r="AO85" s="70">
        <f t="shared" si="40"/>
        <v>46493333.333333328</v>
      </c>
      <c r="AP85" s="39" t="s">
        <v>105</v>
      </c>
      <c r="AQ85" s="38" t="s">
        <v>109</v>
      </c>
      <c r="AR85" s="38" t="s">
        <v>83</v>
      </c>
      <c r="AS85" s="38" t="s">
        <v>83</v>
      </c>
      <c r="AT85" s="38" t="s">
        <v>83</v>
      </c>
      <c r="AU85" s="38" t="s">
        <v>111</v>
      </c>
      <c r="AV85" s="46"/>
      <c r="AW85" s="46"/>
      <c r="AX85" s="40"/>
      <c r="AY85" s="41" t="str">
        <f t="shared" si="38"/>
        <v>100-110</v>
      </c>
      <c r="AZ85" s="76"/>
      <c r="BA85" s="47"/>
      <c r="BB85" s="47"/>
      <c r="BC85" s="35"/>
      <c r="BD85" s="43"/>
    </row>
    <row r="86" spans="1:62" s="49" customFormat="1">
      <c r="A86" s="39" t="s">
        <v>186</v>
      </c>
      <c r="B86" s="39" t="s">
        <v>53</v>
      </c>
      <c r="C86" s="39" t="s">
        <v>92</v>
      </c>
      <c r="D86" s="39">
        <f t="shared" si="27"/>
        <v>1059600</v>
      </c>
      <c r="E86" s="64">
        <f t="shared" si="28"/>
        <v>999600</v>
      </c>
      <c r="F86" s="179">
        <f t="shared" si="39"/>
        <v>0.6502601040416166</v>
      </c>
      <c r="G86" s="45">
        <v>650000</v>
      </c>
      <c r="H86" s="39">
        <f t="shared" si="45"/>
        <v>50000</v>
      </c>
      <c r="I86" s="57">
        <f t="shared" si="35"/>
        <v>256400</v>
      </c>
      <c r="J86" s="57"/>
      <c r="K86" s="39">
        <f>150000*1.08</f>
        <v>162000</v>
      </c>
      <c r="L86" s="39">
        <f>40000*1.08</f>
        <v>43200</v>
      </c>
      <c r="M86" s="39"/>
      <c r="N86" s="39">
        <v>15000</v>
      </c>
      <c r="O86" s="39">
        <v>20000</v>
      </c>
      <c r="P86" s="39"/>
      <c r="Q86" s="39"/>
      <c r="R86" s="39">
        <f t="shared" si="46"/>
        <v>16200.000000000002</v>
      </c>
      <c r="S86" s="65">
        <f t="shared" si="36"/>
        <v>43200</v>
      </c>
      <c r="T86" s="68"/>
      <c r="U86" s="68"/>
      <c r="V86" s="39">
        <v>21600</v>
      </c>
      <c r="W86" s="39">
        <v>10800</v>
      </c>
      <c r="X86" s="39">
        <v>10800</v>
      </c>
      <c r="Y86" s="39"/>
      <c r="Z86" s="59">
        <f t="shared" si="29"/>
        <v>30000</v>
      </c>
      <c r="AA86" s="60">
        <v>30000</v>
      </c>
      <c r="AB86" s="60">
        <v>20000</v>
      </c>
      <c r="AC86" s="60"/>
      <c r="AD86" s="59">
        <f t="shared" si="47"/>
        <v>0</v>
      </c>
      <c r="AE86" s="60"/>
      <c r="AF86" s="59">
        <f t="shared" si="30"/>
        <v>30000</v>
      </c>
      <c r="AG86" s="60">
        <v>30000</v>
      </c>
      <c r="AH86" s="59">
        <f t="shared" si="48"/>
        <v>0</v>
      </c>
      <c r="AI86" s="59"/>
      <c r="AJ86" s="59" t="s">
        <v>130</v>
      </c>
      <c r="AK86" s="66">
        <f t="shared" si="37"/>
        <v>576</v>
      </c>
      <c r="AL86" s="37">
        <v>3</v>
      </c>
      <c r="AM86" s="37">
        <v>50</v>
      </c>
      <c r="AN86" s="37">
        <v>81</v>
      </c>
      <c r="AO86" s="70">
        <f t="shared" si="40"/>
        <v>45815000</v>
      </c>
      <c r="AP86" s="39" t="s">
        <v>124</v>
      </c>
      <c r="AQ86" s="38" t="s">
        <v>109</v>
      </c>
      <c r="AR86" s="38" t="s">
        <v>83</v>
      </c>
      <c r="AS86" s="38" t="s">
        <v>83</v>
      </c>
      <c r="AT86" s="38" t="s">
        <v>83</v>
      </c>
      <c r="AU86" s="38" t="s">
        <v>111</v>
      </c>
      <c r="AV86" s="46"/>
      <c r="AW86" s="46"/>
      <c r="AX86" s="40"/>
      <c r="AY86" s="41" t="str">
        <f t="shared" si="38"/>
        <v>70-80</v>
      </c>
      <c r="AZ86" s="76"/>
      <c r="BA86" s="144"/>
      <c r="BB86" s="144"/>
      <c r="BC86" s="35"/>
      <c r="BD86" s="43"/>
    </row>
    <row r="87" spans="1:62" s="49" customFormat="1">
      <c r="A87" s="39" t="s">
        <v>186</v>
      </c>
      <c r="B87" s="39" t="s">
        <v>53</v>
      </c>
      <c r="C87" s="39" t="s">
        <v>92</v>
      </c>
      <c r="D87" s="39">
        <f t="shared" si="27"/>
        <v>1059600</v>
      </c>
      <c r="E87" s="64">
        <f t="shared" si="28"/>
        <v>999600</v>
      </c>
      <c r="F87" s="179">
        <f t="shared" si="39"/>
        <v>0.6502601040416166</v>
      </c>
      <c r="G87" s="45">
        <v>650000</v>
      </c>
      <c r="H87" s="39">
        <f t="shared" si="45"/>
        <v>50000</v>
      </c>
      <c r="I87" s="57">
        <f t="shared" si="35"/>
        <v>256400</v>
      </c>
      <c r="J87" s="57"/>
      <c r="K87" s="39">
        <f>150000*1.08</f>
        <v>162000</v>
      </c>
      <c r="L87" s="39">
        <f>40000*1.08</f>
        <v>43200</v>
      </c>
      <c r="M87" s="39"/>
      <c r="N87" s="39">
        <v>15000</v>
      </c>
      <c r="O87" s="39">
        <v>20000</v>
      </c>
      <c r="P87" s="39"/>
      <c r="Q87" s="39"/>
      <c r="R87" s="39">
        <f t="shared" si="46"/>
        <v>16200.000000000002</v>
      </c>
      <c r="S87" s="65">
        <f t="shared" si="36"/>
        <v>43200</v>
      </c>
      <c r="T87" s="68"/>
      <c r="U87" s="68"/>
      <c r="V87" s="39">
        <v>21600</v>
      </c>
      <c r="W87" s="39">
        <v>10800</v>
      </c>
      <c r="X87" s="39">
        <v>10800</v>
      </c>
      <c r="Y87" s="39"/>
      <c r="Z87" s="59">
        <f t="shared" si="29"/>
        <v>30000</v>
      </c>
      <c r="AA87" s="60">
        <v>30000</v>
      </c>
      <c r="AB87" s="60">
        <v>20000</v>
      </c>
      <c r="AC87" s="60"/>
      <c r="AD87" s="59">
        <f t="shared" si="47"/>
        <v>0</v>
      </c>
      <c r="AE87" s="60"/>
      <c r="AF87" s="59">
        <f t="shared" si="30"/>
        <v>30000</v>
      </c>
      <c r="AG87" s="60">
        <v>30000</v>
      </c>
      <c r="AH87" s="59">
        <f t="shared" si="48"/>
        <v>0</v>
      </c>
      <c r="AI87" s="59"/>
      <c r="AJ87" s="59" t="s">
        <v>130</v>
      </c>
      <c r="AK87" s="66">
        <f t="shared" si="37"/>
        <v>576</v>
      </c>
      <c r="AL87" s="37">
        <v>3</v>
      </c>
      <c r="AM87" s="37">
        <v>50</v>
      </c>
      <c r="AN87" s="37">
        <v>81</v>
      </c>
      <c r="AO87" s="70">
        <f t="shared" si="40"/>
        <v>45815000</v>
      </c>
      <c r="AP87" s="39" t="s">
        <v>125</v>
      </c>
      <c r="AQ87" s="38" t="s">
        <v>109</v>
      </c>
      <c r="AR87" s="38" t="s">
        <v>83</v>
      </c>
      <c r="AS87" s="38" t="s">
        <v>83</v>
      </c>
      <c r="AT87" s="38" t="s">
        <v>83</v>
      </c>
      <c r="AU87" s="38" t="s">
        <v>111</v>
      </c>
      <c r="AV87" s="46"/>
      <c r="AW87" s="46"/>
      <c r="AX87" s="40"/>
      <c r="AY87" s="41" t="str">
        <f t="shared" si="38"/>
        <v>70-80</v>
      </c>
      <c r="AZ87" s="76"/>
      <c r="BA87" s="144"/>
      <c r="BB87" s="144"/>
      <c r="BC87" s="35"/>
      <c r="BD87" s="43"/>
    </row>
    <row r="88" spans="1:62" s="49" customFormat="1">
      <c r="A88" s="39" t="s">
        <v>186</v>
      </c>
      <c r="B88" s="39" t="s">
        <v>53</v>
      </c>
      <c r="C88" s="39" t="s">
        <v>92</v>
      </c>
      <c r="D88" s="39">
        <f t="shared" si="27"/>
        <v>1059600</v>
      </c>
      <c r="E88" s="64">
        <f t="shared" si="28"/>
        <v>999600</v>
      </c>
      <c r="F88" s="179">
        <f t="shared" si="39"/>
        <v>0.6502601040416166</v>
      </c>
      <c r="G88" s="45">
        <v>650000</v>
      </c>
      <c r="H88" s="39">
        <f t="shared" si="45"/>
        <v>50000</v>
      </c>
      <c r="I88" s="57">
        <f t="shared" si="35"/>
        <v>256400</v>
      </c>
      <c r="J88" s="57"/>
      <c r="K88" s="39">
        <f>150000*1.08</f>
        <v>162000</v>
      </c>
      <c r="L88" s="39">
        <f>40000*1.08</f>
        <v>43200</v>
      </c>
      <c r="M88" s="39"/>
      <c r="N88" s="39">
        <v>15000</v>
      </c>
      <c r="O88" s="39">
        <v>20000</v>
      </c>
      <c r="P88" s="39"/>
      <c r="Q88" s="39"/>
      <c r="R88" s="39">
        <f t="shared" si="46"/>
        <v>16200.000000000002</v>
      </c>
      <c r="S88" s="65">
        <f t="shared" si="36"/>
        <v>43200</v>
      </c>
      <c r="T88" s="68"/>
      <c r="U88" s="68"/>
      <c r="V88" s="39">
        <v>21600</v>
      </c>
      <c r="W88" s="39">
        <v>10800</v>
      </c>
      <c r="X88" s="39">
        <v>10800</v>
      </c>
      <c r="Y88" s="39"/>
      <c r="Z88" s="59">
        <f t="shared" si="29"/>
        <v>30000</v>
      </c>
      <c r="AA88" s="60">
        <v>30000</v>
      </c>
      <c r="AB88" s="60">
        <v>20000</v>
      </c>
      <c r="AC88" s="60"/>
      <c r="AD88" s="59">
        <f t="shared" si="47"/>
        <v>0</v>
      </c>
      <c r="AE88" s="60"/>
      <c r="AF88" s="59">
        <f t="shared" si="30"/>
        <v>30000</v>
      </c>
      <c r="AG88" s="60">
        <v>30000</v>
      </c>
      <c r="AH88" s="59">
        <f t="shared" si="48"/>
        <v>0</v>
      </c>
      <c r="AI88" s="59"/>
      <c r="AJ88" s="59" t="s">
        <v>130</v>
      </c>
      <c r="AK88" s="66">
        <f t="shared" si="37"/>
        <v>576</v>
      </c>
      <c r="AL88" s="37">
        <v>3</v>
      </c>
      <c r="AM88" s="37">
        <v>50</v>
      </c>
      <c r="AN88" s="37">
        <v>81</v>
      </c>
      <c r="AO88" s="70">
        <f t="shared" si="40"/>
        <v>45815000</v>
      </c>
      <c r="AP88" s="39" t="s">
        <v>102</v>
      </c>
      <c r="AQ88" s="38" t="s">
        <v>109</v>
      </c>
      <c r="AR88" s="38" t="s">
        <v>83</v>
      </c>
      <c r="AS88" s="38" t="s">
        <v>83</v>
      </c>
      <c r="AT88" s="38" t="s">
        <v>83</v>
      </c>
      <c r="AU88" s="38" t="s">
        <v>111</v>
      </c>
      <c r="AV88" s="46"/>
      <c r="AW88" s="46"/>
      <c r="AX88" s="40"/>
      <c r="AY88" s="41" t="str">
        <f t="shared" si="38"/>
        <v>70-80</v>
      </c>
      <c r="AZ88" s="76"/>
      <c r="BA88" s="144"/>
      <c r="BB88" s="144"/>
      <c r="BC88" s="35"/>
      <c r="BD88" s="43"/>
    </row>
    <row r="89" spans="1:62" s="49" customFormat="1">
      <c r="A89" s="39" t="s">
        <v>186</v>
      </c>
      <c r="B89" s="39" t="s">
        <v>53</v>
      </c>
      <c r="C89" s="39" t="s">
        <v>92</v>
      </c>
      <c r="D89" s="39">
        <f t="shared" si="27"/>
        <v>1055600</v>
      </c>
      <c r="E89" s="64">
        <f t="shared" si="28"/>
        <v>995600</v>
      </c>
      <c r="F89" s="179">
        <f t="shared" si="39"/>
        <v>0.70309361189232622</v>
      </c>
      <c r="G89" s="45">
        <v>700000</v>
      </c>
      <c r="H89" s="39">
        <f t="shared" si="45"/>
        <v>50000</v>
      </c>
      <c r="I89" s="57">
        <f t="shared" si="35"/>
        <v>202400</v>
      </c>
      <c r="J89" s="57"/>
      <c r="K89" s="39">
        <f>70000*1.08</f>
        <v>75600</v>
      </c>
      <c r="L89" s="39">
        <f>20000*1.08</f>
        <v>21600</v>
      </c>
      <c r="M89" s="39">
        <f>50000*1.08</f>
        <v>54000</v>
      </c>
      <c r="N89" s="39">
        <v>15000</v>
      </c>
      <c r="O89" s="39">
        <v>20000</v>
      </c>
      <c r="P89" s="39"/>
      <c r="Q89" s="39"/>
      <c r="R89" s="39">
        <f t="shared" si="46"/>
        <v>16200.000000000002</v>
      </c>
      <c r="S89" s="65">
        <f t="shared" si="36"/>
        <v>43200</v>
      </c>
      <c r="T89" s="68"/>
      <c r="U89" s="68"/>
      <c r="V89" s="39">
        <v>21600</v>
      </c>
      <c r="W89" s="39">
        <v>10800</v>
      </c>
      <c r="X89" s="39">
        <v>10800</v>
      </c>
      <c r="Y89" s="39"/>
      <c r="Z89" s="59">
        <f t="shared" si="29"/>
        <v>30000</v>
      </c>
      <c r="AA89" s="60">
        <v>30000</v>
      </c>
      <c r="AB89" s="60">
        <v>20000</v>
      </c>
      <c r="AC89" s="60"/>
      <c r="AD89" s="59">
        <f t="shared" si="47"/>
        <v>0</v>
      </c>
      <c r="AE89" s="60"/>
      <c r="AF89" s="59">
        <f t="shared" si="30"/>
        <v>30000</v>
      </c>
      <c r="AG89" s="60">
        <v>30000</v>
      </c>
      <c r="AH89" s="59">
        <f t="shared" si="48"/>
        <v>0</v>
      </c>
      <c r="AI89" s="59"/>
      <c r="AJ89" s="59" t="s">
        <v>130</v>
      </c>
      <c r="AK89" s="66">
        <f t="shared" si="37"/>
        <v>576</v>
      </c>
      <c r="AL89" s="37">
        <v>3</v>
      </c>
      <c r="AM89" s="37">
        <v>50</v>
      </c>
      <c r="AN89" s="37">
        <v>81</v>
      </c>
      <c r="AO89" s="70">
        <f t="shared" si="40"/>
        <v>45631666.666666664</v>
      </c>
      <c r="AP89" s="39" t="s">
        <v>60</v>
      </c>
      <c r="AQ89" s="38" t="s">
        <v>109</v>
      </c>
      <c r="AR89" s="38" t="s">
        <v>83</v>
      </c>
      <c r="AS89" s="38" t="s">
        <v>83</v>
      </c>
      <c r="AT89" s="38" t="s">
        <v>83</v>
      </c>
      <c r="AU89" s="38" t="s">
        <v>111</v>
      </c>
      <c r="AV89" s="46"/>
      <c r="AW89" s="46"/>
      <c r="AX89" s="40"/>
      <c r="AY89" s="41" t="str">
        <f t="shared" si="38"/>
        <v>70-80</v>
      </c>
      <c r="AZ89" s="76"/>
      <c r="BA89" s="144"/>
      <c r="BB89" s="144"/>
      <c r="BC89" s="35"/>
      <c r="BD89" s="43"/>
    </row>
    <row r="90" spans="1:62" s="49" customFormat="1">
      <c r="A90" s="39" t="s">
        <v>186</v>
      </c>
      <c r="B90" s="39" t="s">
        <v>53</v>
      </c>
      <c r="C90" s="39" t="s">
        <v>92</v>
      </c>
      <c r="D90" s="39">
        <f t="shared" si="27"/>
        <v>1044800</v>
      </c>
      <c r="E90" s="64">
        <f t="shared" si="28"/>
        <v>984800</v>
      </c>
      <c r="F90" s="179">
        <f t="shared" si="39"/>
        <v>0.71080422420796097</v>
      </c>
      <c r="G90" s="45">
        <v>700000</v>
      </c>
      <c r="H90" s="39">
        <f t="shared" si="45"/>
        <v>50000</v>
      </c>
      <c r="I90" s="57">
        <f t="shared" si="35"/>
        <v>191600</v>
      </c>
      <c r="J90" s="57"/>
      <c r="K90" s="39">
        <f>100000*1.08</f>
        <v>108000</v>
      </c>
      <c r="L90" s="39">
        <f>30000*1.08</f>
        <v>32400.000000000004</v>
      </c>
      <c r="M90" s="39"/>
      <c r="N90" s="39">
        <v>15000</v>
      </c>
      <c r="O90" s="39">
        <v>20000</v>
      </c>
      <c r="P90" s="39"/>
      <c r="Q90" s="39"/>
      <c r="R90" s="39">
        <f t="shared" si="46"/>
        <v>16200.000000000002</v>
      </c>
      <c r="S90" s="65">
        <f t="shared" si="36"/>
        <v>43200</v>
      </c>
      <c r="T90" s="68"/>
      <c r="U90" s="68"/>
      <c r="V90" s="39">
        <v>21600</v>
      </c>
      <c r="W90" s="39">
        <v>10800</v>
      </c>
      <c r="X90" s="39">
        <v>10800</v>
      </c>
      <c r="Y90" s="39"/>
      <c r="Z90" s="59">
        <f t="shared" si="29"/>
        <v>30000</v>
      </c>
      <c r="AA90" s="60">
        <v>30000</v>
      </c>
      <c r="AB90" s="60">
        <v>20000</v>
      </c>
      <c r="AC90" s="60"/>
      <c r="AD90" s="59">
        <f t="shared" si="47"/>
        <v>0</v>
      </c>
      <c r="AE90" s="60"/>
      <c r="AF90" s="59">
        <f t="shared" si="30"/>
        <v>30000</v>
      </c>
      <c r="AG90" s="60">
        <v>30000</v>
      </c>
      <c r="AH90" s="59">
        <f t="shared" si="48"/>
        <v>0</v>
      </c>
      <c r="AI90" s="59"/>
      <c r="AJ90" s="59" t="s">
        <v>130</v>
      </c>
      <c r="AK90" s="66">
        <f t="shared" si="37"/>
        <v>576</v>
      </c>
      <c r="AL90" s="37">
        <v>3</v>
      </c>
      <c r="AM90" s="37">
        <v>50</v>
      </c>
      <c r="AN90" s="37">
        <v>81</v>
      </c>
      <c r="AO90" s="70">
        <f t="shared" si="40"/>
        <v>45136666.666666664</v>
      </c>
      <c r="AP90" s="39" t="s">
        <v>67</v>
      </c>
      <c r="AQ90" s="38" t="s">
        <v>109</v>
      </c>
      <c r="AR90" s="38" t="s">
        <v>83</v>
      </c>
      <c r="AS90" s="38" t="s">
        <v>83</v>
      </c>
      <c r="AT90" s="38" t="s">
        <v>83</v>
      </c>
      <c r="AU90" s="38" t="s">
        <v>111</v>
      </c>
      <c r="AV90" s="46"/>
      <c r="AW90" s="46"/>
      <c r="AX90" s="40"/>
      <c r="AY90" s="41" t="str">
        <f t="shared" si="38"/>
        <v>70-80</v>
      </c>
      <c r="AZ90" s="76"/>
      <c r="BA90" s="144"/>
      <c r="BB90" s="144"/>
      <c r="BC90" s="35"/>
      <c r="BD90" s="43"/>
    </row>
    <row r="91" spans="1:62" s="49" customFormat="1">
      <c r="A91" s="39" t="s">
        <v>186</v>
      </c>
      <c r="B91" s="39" t="s">
        <v>53</v>
      </c>
      <c r="C91" s="39" t="s">
        <v>54</v>
      </c>
      <c r="D91" s="39">
        <f t="shared" si="27"/>
        <v>1570400</v>
      </c>
      <c r="E91" s="64">
        <f t="shared" si="28"/>
        <v>1483400</v>
      </c>
      <c r="F91" s="179">
        <f t="shared" si="39"/>
        <v>0.57300795469866528</v>
      </c>
      <c r="G91" s="39">
        <v>850000</v>
      </c>
      <c r="H91" s="57">
        <f>$BF$7*AM91</f>
        <v>250000</v>
      </c>
      <c r="I91" s="57">
        <f t="shared" si="35"/>
        <v>329400</v>
      </c>
      <c r="J91" s="57"/>
      <c r="K91" s="39">
        <f>1.08*200000</f>
        <v>216000</v>
      </c>
      <c r="L91" s="39">
        <f>1.08*50000</f>
        <v>54000</v>
      </c>
      <c r="M91" s="39"/>
      <c r="N91" s="57">
        <f>15000*1.08</f>
        <v>16200.000000000002</v>
      </c>
      <c r="O91" s="57">
        <f>20000*1.08</f>
        <v>21600</v>
      </c>
      <c r="P91" s="57"/>
      <c r="Q91" s="57"/>
      <c r="R91" s="65">
        <f>$BF$7*AL91*1.08</f>
        <v>21600</v>
      </c>
      <c r="S91" s="65">
        <f t="shared" si="36"/>
        <v>54000</v>
      </c>
      <c r="T91" s="68"/>
      <c r="U91" s="68"/>
      <c r="V91" s="65">
        <v>21600</v>
      </c>
      <c r="W91" s="65">
        <v>10800</v>
      </c>
      <c r="X91" s="65">
        <v>10800</v>
      </c>
      <c r="Y91" s="65">
        <v>10800</v>
      </c>
      <c r="Z91" s="59">
        <f t="shared" si="29"/>
        <v>75000</v>
      </c>
      <c r="AA91" s="141">
        <v>55000</v>
      </c>
      <c r="AB91" s="141">
        <v>10000</v>
      </c>
      <c r="AC91" s="141">
        <f>$BF$10*AL91</f>
        <v>20000</v>
      </c>
      <c r="AD91" s="59">
        <f>$BF$11*AL91</f>
        <v>0</v>
      </c>
      <c r="AE91" s="141">
        <f>$BF$12*AL91</f>
        <v>40000</v>
      </c>
      <c r="AF91" s="59">
        <f t="shared" si="30"/>
        <v>12000</v>
      </c>
      <c r="AG91" s="141">
        <f>$BF$13*AL91</f>
        <v>12000</v>
      </c>
      <c r="AH91" s="59">
        <f>$BF$11*AL91</f>
        <v>0</v>
      </c>
      <c r="AI91" s="59"/>
      <c r="AJ91" s="59" t="s">
        <v>130</v>
      </c>
      <c r="AK91" s="66">
        <f t="shared" si="37"/>
        <v>576</v>
      </c>
      <c r="AL91" s="37">
        <v>4</v>
      </c>
      <c r="AM91" s="37">
        <v>50</v>
      </c>
      <c r="AN91" s="38">
        <v>91</v>
      </c>
      <c r="AO91" s="70">
        <f t="shared" si="40"/>
        <v>67989166.666666672</v>
      </c>
      <c r="AP91" s="39" t="s">
        <v>104</v>
      </c>
      <c r="AQ91" s="38" t="s">
        <v>109</v>
      </c>
      <c r="AR91" s="38" t="s">
        <v>83</v>
      </c>
      <c r="AS91" s="38" t="s">
        <v>83</v>
      </c>
      <c r="AT91" s="38" t="s">
        <v>83</v>
      </c>
      <c r="AU91" s="38" t="s">
        <v>111</v>
      </c>
      <c r="AV91" s="40"/>
      <c r="AW91" s="38"/>
      <c r="AX91" s="40"/>
      <c r="AY91" s="41" t="str">
        <f t="shared" si="38"/>
        <v>140-150</v>
      </c>
      <c r="AZ91" s="75"/>
      <c r="BA91" s="137"/>
      <c r="BB91" s="139"/>
      <c r="BC91" s="144"/>
      <c r="BD91" s="145"/>
      <c r="BE91" s="142"/>
      <c r="BF91" s="142"/>
      <c r="BG91" s="142"/>
      <c r="BH91" s="142"/>
      <c r="BI91" s="142"/>
      <c r="BJ91" s="142"/>
    </row>
    <row r="92" spans="1:62" s="49" customFormat="1">
      <c r="A92" s="39" t="s">
        <v>186</v>
      </c>
      <c r="B92" s="39" t="s">
        <v>53</v>
      </c>
      <c r="C92" s="39" t="s">
        <v>92</v>
      </c>
      <c r="D92" s="39">
        <f t="shared" ref="D92:D123" si="49">G92+H92+I92+S92+Z92+AF92</f>
        <v>1024400</v>
      </c>
      <c r="E92" s="64">
        <f t="shared" ref="E92:E123" si="50">G92+H92+I92+S92</f>
        <v>964400</v>
      </c>
      <c r="F92" s="179">
        <f t="shared" si="39"/>
        <v>0.57030277892990455</v>
      </c>
      <c r="G92" s="45">
        <v>550000</v>
      </c>
      <c r="H92" s="39">
        <f t="shared" ref="H92:H99" si="51">$BH$7*AM92</f>
        <v>50000</v>
      </c>
      <c r="I92" s="57">
        <f t="shared" si="35"/>
        <v>321200</v>
      </c>
      <c r="J92" s="57"/>
      <c r="K92" s="39">
        <f>1.08*200000</f>
        <v>216000</v>
      </c>
      <c r="L92" s="39">
        <f>1.08*50000</f>
        <v>54000</v>
      </c>
      <c r="M92" s="39"/>
      <c r="N92" s="39">
        <v>15000</v>
      </c>
      <c r="O92" s="39">
        <v>20000</v>
      </c>
      <c r="P92" s="39"/>
      <c r="Q92" s="39"/>
      <c r="R92" s="39">
        <f t="shared" ref="R92:R99" si="52">$BH$8*AL92*1.08</f>
        <v>16200.000000000002</v>
      </c>
      <c r="S92" s="65">
        <f t="shared" si="36"/>
        <v>43200</v>
      </c>
      <c r="T92" s="68"/>
      <c r="U92" s="68"/>
      <c r="V92" s="39">
        <v>21600</v>
      </c>
      <c r="W92" s="39">
        <v>10800</v>
      </c>
      <c r="X92" s="39">
        <v>10800</v>
      </c>
      <c r="Y92" s="39"/>
      <c r="Z92" s="59">
        <f t="shared" ref="Z92:Z123" si="53">AA92+AC92</f>
        <v>30000</v>
      </c>
      <c r="AA92" s="60">
        <v>30000</v>
      </c>
      <c r="AB92" s="60">
        <v>20000</v>
      </c>
      <c r="AC92" s="60"/>
      <c r="AD92" s="59">
        <f t="shared" ref="AD92:AD99" si="54">$BH$11*AL92</f>
        <v>0</v>
      </c>
      <c r="AE92" s="60"/>
      <c r="AF92" s="59">
        <f t="shared" ref="AF92:AF123" si="55">SUM(AG92:AH92)</f>
        <v>30000</v>
      </c>
      <c r="AG92" s="60">
        <v>30000</v>
      </c>
      <c r="AH92" s="59">
        <f t="shared" ref="AH92:AH99" si="56">$BH$11*AL92</f>
        <v>0</v>
      </c>
      <c r="AI92" s="59"/>
      <c r="AJ92" s="59" t="s">
        <v>130</v>
      </c>
      <c r="AK92" s="66">
        <f t="shared" si="37"/>
        <v>576</v>
      </c>
      <c r="AL92" s="37">
        <v>3</v>
      </c>
      <c r="AM92" s="37">
        <v>50</v>
      </c>
      <c r="AN92" s="37">
        <v>81</v>
      </c>
      <c r="AO92" s="70">
        <f t="shared" si="40"/>
        <v>44201666.666666664</v>
      </c>
      <c r="AP92" s="39" t="s">
        <v>104</v>
      </c>
      <c r="AQ92" s="38" t="s">
        <v>109</v>
      </c>
      <c r="AR92" s="38" t="s">
        <v>83</v>
      </c>
      <c r="AS92" s="38" t="s">
        <v>83</v>
      </c>
      <c r="AT92" s="38" t="s">
        <v>83</v>
      </c>
      <c r="AU92" s="38" t="s">
        <v>111</v>
      </c>
      <c r="AV92" s="46">
        <v>20</v>
      </c>
      <c r="AW92" s="46">
        <v>18</v>
      </c>
      <c r="AX92" s="40">
        <f>E92*AW92</f>
        <v>17359200</v>
      </c>
      <c r="AY92" s="41" t="str">
        <f t="shared" si="38"/>
        <v>70-80</v>
      </c>
      <c r="AZ92" s="76"/>
      <c r="BA92" s="144"/>
      <c r="BB92" s="144"/>
      <c r="BC92" s="47"/>
      <c r="BD92" s="48"/>
    </row>
    <row r="93" spans="1:62" s="49" customFormat="1">
      <c r="A93" s="39" t="s">
        <v>186</v>
      </c>
      <c r="B93" s="39" t="s">
        <v>53</v>
      </c>
      <c r="C93" s="39" t="s">
        <v>92</v>
      </c>
      <c r="D93" s="39">
        <f t="shared" si="49"/>
        <v>1024400</v>
      </c>
      <c r="E93" s="64">
        <f t="shared" si="50"/>
        <v>964400</v>
      </c>
      <c r="F93" s="179">
        <f t="shared" si="39"/>
        <v>0.57030277892990455</v>
      </c>
      <c r="G93" s="45">
        <v>550000</v>
      </c>
      <c r="H93" s="39">
        <f t="shared" si="51"/>
        <v>50000</v>
      </c>
      <c r="I93" s="57">
        <f t="shared" si="35"/>
        <v>321200</v>
      </c>
      <c r="J93" s="57"/>
      <c r="K93" s="39">
        <f>1.08*200000</f>
        <v>216000</v>
      </c>
      <c r="L93" s="39">
        <f>1.08*50000</f>
        <v>54000</v>
      </c>
      <c r="M93" s="39"/>
      <c r="N93" s="39">
        <v>15000</v>
      </c>
      <c r="O93" s="39">
        <v>20000</v>
      </c>
      <c r="P93" s="39"/>
      <c r="Q93" s="39"/>
      <c r="R93" s="39">
        <f t="shared" si="52"/>
        <v>16200.000000000002</v>
      </c>
      <c r="S93" s="65">
        <f t="shared" si="36"/>
        <v>43200</v>
      </c>
      <c r="T93" s="68"/>
      <c r="U93" s="68"/>
      <c r="V93" s="39">
        <v>21600</v>
      </c>
      <c r="W93" s="39">
        <v>10800</v>
      </c>
      <c r="X93" s="39">
        <v>10800</v>
      </c>
      <c r="Y93" s="39"/>
      <c r="Z93" s="59">
        <f t="shared" si="53"/>
        <v>30000</v>
      </c>
      <c r="AA93" s="60">
        <v>30000</v>
      </c>
      <c r="AB93" s="60">
        <v>20000</v>
      </c>
      <c r="AC93" s="60"/>
      <c r="AD93" s="59">
        <f t="shared" si="54"/>
        <v>0</v>
      </c>
      <c r="AE93" s="60"/>
      <c r="AF93" s="59">
        <f t="shared" si="55"/>
        <v>30000</v>
      </c>
      <c r="AG93" s="60">
        <v>30000</v>
      </c>
      <c r="AH93" s="59">
        <f t="shared" si="56"/>
        <v>0</v>
      </c>
      <c r="AI93" s="59"/>
      <c r="AJ93" s="59" t="s">
        <v>130</v>
      </c>
      <c r="AK93" s="66">
        <f t="shared" si="37"/>
        <v>576</v>
      </c>
      <c r="AL93" s="37">
        <v>3</v>
      </c>
      <c r="AM93" s="37">
        <v>50</v>
      </c>
      <c r="AN93" s="37">
        <v>81</v>
      </c>
      <c r="AO93" s="70">
        <f t="shared" si="40"/>
        <v>44201666.666666664</v>
      </c>
      <c r="AP93" s="39" t="s">
        <v>123</v>
      </c>
      <c r="AQ93" s="38" t="s">
        <v>109</v>
      </c>
      <c r="AR93" s="38" t="s">
        <v>83</v>
      </c>
      <c r="AS93" s="38" t="s">
        <v>83</v>
      </c>
      <c r="AT93" s="38" t="s">
        <v>83</v>
      </c>
      <c r="AU93" s="38" t="s">
        <v>111</v>
      </c>
      <c r="AV93" s="46"/>
      <c r="AW93" s="46"/>
      <c r="AX93" s="40"/>
      <c r="AY93" s="41" t="str">
        <f t="shared" si="38"/>
        <v>70-80</v>
      </c>
      <c r="AZ93" s="76"/>
      <c r="BA93" s="144"/>
      <c r="BB93" s="144"/>
      <c r="BC93" s="47"/>
      <c r="BD93" s="48"/>
    </row>
    <row r="94" spans="1:62" s="49" customFormat="1">
      <c r="A94" s="39" t="s">
        <v>186</v>
      </c>
      <c r="B94" s="39" t="s">
        <v>53</v>
      </c>
      <c r="C94" s="39" t="s">
        <v>92</v>
      </c>
      <c r="D94" s="39">
        <f t="shared" si="49"/>
        <v>1024400</v>
      </c>
      <c r="E94" s="64">
        <f t="shared" si="50"/>
        <v>964400</v>
      </c>
      <c r="F94" s="179">
        <f t="shared" si="39"/>
        <v>0.57030277892990455</v>
      </c>
      <c r="G94" s="45">
        <v>550000</v>
      </c>
      <c r="H94" s="39">
        <f t="shared" si="51"/>
        <v>50000</v>
      </c>
      <c r="I94" s="57">
        <f t="shared" si="35"/>
        <v>321200</v>
      </c>
      <c r="J94" s="57"/>
      <c r="K94" s="39">
        <f>1.08*200000</f>
        <v>216000</v>
      </c>
      <c r="L94" s="39">
        <f>1.08*50000</f>
        <v>54000</v>
      </c>
      <c r="M94" s="39"/>
      <c r="N94" s="39">
        <v>15000</v>
      </c>
      <c r="O94" s="39">
        <v>20000</v>
      </c>
      <c r="P94" s="39"/>
      <c r="Q94" s="39"/>
      <c r="R94" s="39">
        <f t="shared" si="52"/>
        <v>16200.000000000002</v>
      </c>
      <c r="S94" s="65">
        <f t="shared" si="36"/>
        <v>43200</v>
      </c>
      <c r="T94" s="68"/>
      <c r="U94" s="68"/>
      <c r="V94" s="39">
        <v>21600</v>
      </c>
      <c r="W94" s="39">
        <v>10800</v>
      </c>
      <c r="X94" s="39">
        <v>10800</v>
      </c>
      <c r="Y94" s="39"/>
      <c r="Z94" s="59">
        <f t="shared" si="53"/>
        <v>30000</v>
      </c>
      <c r="AA94" s="60">
        <v>30000</v>
      </c>
      <c r="AB94" s="60">
        <v>20000</v>
      </c>
      <c r="AC94" s="60"/>
      <c r="AD94" s="59">
        <f t="shared" si="54"/>
        <v>0</v>
      </c>
      <c r="AE94" s="60"/>
      <c r="AF94" s="59">
        <f t="shared" si="55"/>
        <v>30000</v>
      </c>
      <c r="AG94" s="60">
        <v>30000</v>
      </c>
      <c r="AH94" s="59">
        <f t="shared" si="56"/>
        <v>0</v>
      </c>
      <c r="AI94" s="59"/>
      <c r="AJ94" s="59" t="s">
        <v>130</v>
      </c>
      <c r="AK94" s="66">
        <f t="shared" si="37"/>
        <v>576</v>
      </c>
      <c r="AL94" s="37">
        <v>3</v>
      </c>
      <c r="AM94" s="37">
        <v>50</v>
      </c>
      <c r="AN94" s="37">
        <v>81</v>
      </c>
      <c r="AO94" s="70">
        <f t="shared" si="40"/>
        <v>44201666.666666664</v>
      </c>
      <c r="AP94" s="39" t="s">
        <v>105</v>
      </c>
      <c r="AQ94" s="38" t="s">
        <v>109</v>
      </c>
      <c r="AR94" s="38" t="s">
        <v>83</v>
      </c>
      <c r="AS94" s="38" t="s">
        <v>83</v>
      </c>
      <c r="AT94" s="38" t="s">
        <v>83</v>
      </c>
      <c r="AU94" s="38" t="s">
        <v>111</v>
      </c>
      <c r="AV94" s="46"/>
      <c r="AW94" s="46"/>
      <c r="AX94" s="40"/>
      <c r="AY94" s="41" t="str">
        <f t="shared" si="38"/>
        <v>70-80</v>
      </c>
      <c r="AZ94" s="76"/>
      <c r="BA94" s="144"/>
      <c r="BB94" s="144"/>
      <c r="BC94" s="47"/>
      <c r="BD94" s="48"/>
    </row>
    <row r="95" spans="1:62" s="49" customFormat="1">
      <c r="A95" s="39" t="s">
        <v>186</v>
      </c>
      <c r="B95" s="39" t="s">
        <v>53</v>
      </c>
      <c r="C95" s="39" t="s">
        <v>92</v>
      </c>
      <c r="D95" s="39">
        <f t="shared" si="49"/>
        <v>1009600</v>
      </c>
      <c r="E95" s="64">
        <f t="shared" si="50"/>
        <v>949600</v>
      </c>
      <c r="F95" s="179">
        <f t="shared" si="39"/>
        <v>0.63184498736310024</v>
      </c>
      <c r="G95" s="45">
        <v>600000</v>
      </c>
      <c r="H95" s="39">
        <f t="shared" si="51"/>
        <v>50000</v>
      </c>
      <c r="I95" s="57">
        <f t="shared" si="35"/>
        <v>256400</v>
      </c>
      <c r="J95" s="57"/>
      <c r="K95" s="39">
        <f>150000*1.08</f>
        <v>162000</v>
      </c>
      <c r="L95" s="39">
        <f>40000*1.08</f>
        <v>43200</v>
      </c>
      <c r="M95" s="39"/>
      <c r="N95" s="39">
        <v>15000</v>
      </c>
      <c r="O95" s="39">
        <v>20000</v>
      </c>
      <c r="P95" s="39"/>
      <c r="Q95" s="39"/>
      <c r="R95" s="39">
        <f t="shared" si="52"/>
        <v>16200.000000000002</v>
      </c>
      <c r="S95" s="65">
        <f t="shared" si="36"/>
        <v>43200</v>
      </c>
      <c r="T95" s="68"/>
      <c r="U95" s="68"/>
      <c r="V95" s="39">
        <v>21600</v>
      </c>
      <c r="W95" s="39">
        <v>10800</v>
      </c>
      <c r="X95" s="39">
        <v>10800</v>
      </c>
      <c r="Y95" s="39"/>
      <c r="Z95" s="59">
        <f t="shared" si="53"/>
        <v>30000</v>
      </c>
      <c r="AA95" s="60">
        <v>30000</v>
      </c>
      <c r="AB95" s="60">
        <v>20000</v>
      </c>
      <c r="AC95" s="60"/>
      <c r="AD95" s="59">
        <f t="shared" si="54"/>
        <v>0</v>
      </c>
      <c r="AE95" s="60"/>
      <c r="AF95" s="59">
        <f t="shared" si="55"/>
        <v>30000</v>
      </c>
      <c r="AG95" s="60">
        <v>30000</v>
      </c>
      <c r="AH95" s="59">
        <f t="shared" si="56"/>
        <v>0</v>
      </c>
      <c r="AI95" s="59"/>
      <c r="AJ95" s="59" t="s">
        <v>130</v>
      </c>
      <c r="AK95" s="66">
        <f t="shared" si="37"/>
        <v>576</v>
      </c>
      <c r="AL95" s="37">
        <v>3</v>
      </c>
      <c r="AM95" s="37">
        <v>50</v>
      </c>
      <c r="AN95" s="37">
        <v>81</v>
      </c>
      <c r="AO95" s="70">
        <f t="shared" si="40"/>
        <v>43523333.333333328</v>
      </c>
      <c r="AP95" s="39" t="s">
        <v>124</v>
      </c>
      <c r="AQ95" s="38" t="s">
        <v>109</v>
      </c>
      <c r="AR95" s="38" t="s">
        <v>83</v>
      </c>
      <c r="AS95" s="38" t="s">
        <v>83</v>
      </c>
      <c r="AT95" s="38" t="s">
        <v>83</v>
      </c>
      <c r="AU95" s="38" t="s">
        <v>111</v>
      </c>
      <c r="AV95" s="46"/>
      <c r="AW95" s="46"/>
      <c r="AX95" s="40"/>
      <c r="AY95" s="41" t="str">
        <f t="shared" si="38"/>
        <v>70-80</v>
      </c>
      <c r="AZ95" s="76"/>
      <c r="BA95" s="144"/>
      <c r="BB95" s="144"/>
      <c r="BC95" s="35"/>
      <c r="BD95" s="43"/>
    </row>
    <row r="96" spans="1:62" s="49" customFormat="1">
      <c r="A96" s="39" t="s">
        <v>186</v>
      </c>
      <c r="B96" s="39" t="s">
        <v>53</v>
      </c>
      <c r="C96" s="39" t="s">
        <v>92</v>
      </c>
      <c r="D96" s="39">
        <f t="shared" si="49"/>
        <v>1009600</v>
      </c>
      <c r="E96" s="64">
        <f t="shared" si="50"/>
        <v>949600</v>
      </c>
      <c r="F96" s="179">
        <f t="shared" si="39"/>
        <v>0.63184498736310024</v>
      </c>
      <c r="G96" s="45">
        <v>600000</v>
      </c>
      <c r="H96" s="39">
        <f t="shared" si="51"/>
        <v>50000</v>
      </c>
      <c r="I96" s="57">
        <f t="shared" si="35"/>
        <v>256400</v>
      </c>
      <c r="J96" s="57"/>
      <c r="K96" s="39">
        <f>150000*1.08</f>
        <v>162000</v>
      </c>
      <c r="L96" s="39">
        <f>40000*1.08</f>
        <v>43200</v>
      </c>
      <c r="M96" s="39"/>
      <c r="N96" s="39">
        <v>15000</v>
      </c>
      <c r="O96" s="39">
        <v>20000</v>
      </c>
      <c r="P96" s="39"/>
      <c r="Q96" s="39"/>
      <c r="R96" s="39">
        <f t="shared" si="52"/>
        <v>16200.000000000002</v>
      </c>
      <c r="S96" s="65">
        <f t="shared" si="36"/>
        <v>43200</v>
      </c>
      <c r="T96" s="68"/>
      <c r="U96" s="68"/>
      <c r="V96" s="39">
        <v>21600</v>
      </c>
      <c r="W96" s="39">
        <v>10800</v>
      </c>
      <c r="X96" s="39">
        <v>10800</v>
      </c>
      <c r="Y96" s="39"/>
      <c r="Z96" s="59">
        <f t="shared" si="53"/>
        <v>30000</v>
      </c>
      <c r="AA96" s="60">
        <v>30000</v>
      </c>
      <c r="AB96" s="60">
        <v>20000</v>
      </c>
      <c r="AC96" s="60"/>
      <c r="AD96" s="59">
        <f t="shared" si="54"/>
        <v>0</v>
      </c>
      <c r="AE96" s="60"/>
      <c r="AF96" s="59">
        <f t="shared" si="55"/>
        <v>30000</v>
      </c>
      <c r="AG96" s="60">
        <v>30000</v>
      </c>
      <c r="AH96" s="59">
        <f t="shared" si="56"/>
        <v>0</v>
      </c>
      <c r="AI96" s="59"/>
      <c r="AJ96" s="59" t="s">
        <v>130</v>
      </c>
      <c r="AK96" s="66">
        <f t="shared" si="37"/>
        <v>576</v>
      </c>
      <c r="AL96" s="37">
        <v>3</v>
      </c>
      <c r="AM96" s="37">
        <v>50</v>
      </c>
      <c r="AN96" s="37">
        <v>81</v>
      </c>
      <c r="AO96" s="70">
        <f t="shared" si="40"/>
        <v>43523333.333333328</v>
      </c>
      <c r="AP96" s="39" t="s">
        <v>125</v>
      </c>
      <c r="AQ96" s="38" t="s">
        <v>109</v>
      </c>
      <c r="AR96" s="38" t="s">
        <v>83</v>
      </c>
      <c r="AS96" s="38" t="s">
        <v>83</v>
      </c>
      <c r="AT96" s="38" t="s">
        <v>83</v>
      </c>
      <c r="AU96" s="38" t="s">
        <v>111</v>
      </c>
      <c r="AV96" s="46"/>
      <c r="AW96" s="46"/>
      <c r="AX96" s="40"/>
      <c r="AY96" s="41" t="str">
        <f t="shared" si="38"/>
        <v>70-80</v>
      </c>
      <c r="AZ96" s="76"/>
      <c r="BA96" s="144"/>
      <c r="BB96" s="144"/>
      <c r="BC96" s="35"/>
      <c r="BD96" s="43"/>
    </row>
    <row r="97" spans="1:62" s="49" customFormat="1">
      <c r="A97" s="39" t="s">
        <v>186</v>
      </c>
      <c r="B97" s="39" t="s">
        <v>53</v>
      </c>
      <c r="C97" s="39" t="s">
        <v>92</v>
      </c>
      <c r="D97" s="39">
        <f t="shared" si="49"/>
        <v>1009600</v>
      </c>
      <c r="E97" s="64">
        <f t="shared" si="50"/>
        <v>949600</v>
      </c>
      <c r="F97" s="179">
        <f t="shared" si="39"/>
        <v>0.63184498736310024</v>
      </c>
      <c r="G97" s="45">
        <v>600000</v>
      </c>
      <c r="H97" s="39">
        <f t="shared" si="51"/>
        <v>50000</v>
      </c>
      <c r="I97" s="57">
        <f t="shared" si="35"/>
        <v>256400</v>
      </c>
      <c r="J97" s="57"/>
      <c r="K97" s="39">
        <f>150000*1.08</f>
        <v>162000</v>
      </c>
      <c r="L97" s="39">
        <f>40000*1.08</f>
        <v>43200</v>
      </c>
      <c r="M97" s="39"/>
      <c r="N97" s="39">
        <v>15000</v>
      </c>
      <c r="O97" s="39">
        <v>20000</v>
      </c>
      <c r="P97" s="39"/>
      <c r="Q97" s="39"/>
      <c r="R97" s="39">
        <f t="shared" si="52"/>
        <v>16200.000000000002</v>
      </c>
      <c r="S97" s="65">
        <f t="shared" si="36"/>
        <v>43200</v>
      </c>
      <c r="T97" s="68"/>
      <c r="U97" s="68"/>
      <c r="V97" s="39">
        <v>21600</v>
      </c>
      <c r="W97" s="39">
        <v>10800</v>
      </c>
      <c r="X97" s="39">
        <v>10800</v>
      </c>
      <c r="Y97" s="39"/>
      <c r="Z97" s="59">
        <f t="shared" si="53"/>
        <v>30000</v>
      </c>
      <c r="AA97" s="60">
        <v>30000</v>
      </c>
      <c r="AB97" s="60">
        <v>20000</v>
      </c>
      <c r="AC97" s="60"/>
      <c r="AD97" s="59">
        <f t="shared" si="54"/>
        <v>0</v>
      </c>
      <c r="AE97" s="60"/>
      <c r="AF97" s="59">
        <f t="shared" si="55"/>
        <v>30000</v>
      </c>
      <c r="AG97" s="60">
        <v>30000</v>
      </c>
      <c r="AH97" s="59">
        <f t="shared" si="56"/>
        <v>0</v>
      </c>
      <c r="AI97" s="59"/>
      <c r="AJ97" s="59" t="s">
        <v>130</v>
      </c>
      <c r="AK97" s="66">
        <f t="shared" si="37"/>
        <v>576</v>
      </c>
      <c r="AL97" s="37">
        <v>3</v>
      </c>
      <c r="AM97" s="37">
        <v>50</v>
      </c>
      <c r="AN97" s="37">
        <v>81</v>
      </c>
      <c r="AO97" s="70">
        <f t="shared" si="40"/>
        <v>43523333.333333328</v>
      </c>
      <c r="AP97" s="39" t="s">
        <v>102</v>
      </c>
      <c r="AQ97" s="38" t="s">
        <v>109</v>
      </c>
      <c r="AR97" s="38" t="s">
        <v>83</v>
      </c>
      <c r="AS97" s="38" t="s">
        <v>83</v>
      </c>
      <c r="AT97" s="38" t="s">
        <v>83</v>
      </c>
      <c r="AU97" s="38" t="s">
        <v>111</v>
      </c>
      <c r="AV97" s="46"/>
      <c r="AW97" s="46"/>
      <c r="AX97" s="40"/>
      <c r="AY97" s="41" t="str">
        <f t="shared" si="38"/>
        <v>70-80</v>
      </c>
      <c r="AZ97" s="76"/>
      <c r="BA97" s="144"/>
      <c r="BB97" s="144"/>
      <c r="BC97" s="35"/>
      <c r="BD97" s="43"/>
    </row>
    <row r="98" spans="1:62" s="49" customFormat="1">
      <c r="A98" s="39" t="s">
        <v>186</v>
      </c>
      <c r="B98" s="39" t="s">
        <v>53</v>
      </c>
      <c r="C98" s="39" t="s">
        <v>92</v>
      </c>
      <c r="D98" s="39">
        <f t="shared" si="49"/>
        <v>1005600</v>
      </c>
      <c r="E98" s="64">
        <f t="shared" si="50"/>
        <v>945600</v>
      </c>
      <c r="F98" s="179">
        <f t="shared" si="39"/>
        <v>0.68739424703891705</v>
      </c>
      <c r="G98" s="45">
        <v>650000</v>
      </c>
      <c r="H98" s="39">
        <f t="shared" si="51"/>
        <v>50000</v>
      </c>
      <c r="I98" s="57">
        <f t="shared" si="35"/>
        <v>202400</v>
      </c>
      <c r="J98" s="57"/>
      <c r="K98" s="39">
        <f>70000*1.08</f>
        <v>75600</v>
      </c>
      <c r="L98" s="39">
        <f>20000*1.08</f>
        <v>21600</v>
      </c>
      <c r="M98" s="39">
        <f>50000*1.08</f>
        <v>54000</v>
      </c>
      <c r="N98" s="39">
        <v>15000</v>
      </c>
      <c r="O98" s="39">
        <v>20000</v>
      </c>
      <c r="P98" s="39"/>
      <c r="Q98" s="39"/>
      <c r="R98" s="39">
        <f t="shared" si="52"/>
        <v>16200.000000000002</v>
      </c>
      <c r="S98" s="65">
        <f t="shared" si="36"/>
        <v>43200</v>
      </c>
      <c r="T98" s="68"/>
      <c r="U98" s="68"/>
      <c r="V98" s="39">
        <v>21600</v>
      </c>
      <c r="W98" s="39">
        <v>10800</v>
      </c>
      <c r="X98" s="39">
        <v>10800</v>
      </c>
      <c r="Y98" s="39"/>
      <c r="Z98" s="59">
        <f t="shared" si="53"/>
        <v>30000</v>
      </c>
      <c r="AA98" s="60">
        <v>30000</v>
      </c>
      <c r="AB98" s="60">
        <v>20000</v>
      </c>
      <c r="AC98" s="60"/>
      <c r="AD98" s="59">
        <f t="shared" si="54"/>
        <v>0</v>
      </c>
      <c r="AE98" s="60"/>
      <c r="AF98" s="59">
        <f t="shared" si="55"/>
        <v>30000</v>
      </c>
      <c r="AG98" s="60">
        <v>30000</v>
      </c>
      <c r="AH98" s="59">
        <f t="shared" si="56"/>
        <v>0</v>
      </c>
      <c r="AI98" s="59"/>
      <c r="AJ98" s="59" t="s">
        <v>130</v>
      </c>
      <c r="AK98" s="66">
        <f t="shared" si="37"/>
        <v>576</v>
      </c>
      <c r="AL98" s="37">
        <v>3</v>
      </c>
      <c r="AM98" s="37">
        <v>50</v>
      </c>
      <c r="AN98" s="37">
        <v>81</v>
      </c>
      <c r="AO98" s="70">
        <f t="shared" si="40"/>
        <v>43340000</v>
      </c>
      <c r="AP98" s="39" t="s">
        <v>60</v>
      </c>
      <c r="AQ98" s="38" t="s">
        <v>109</v>
      </c>
      <c r="AR98" s="38" t="s">
        <v>83</v>
      </c>
      <c r="AS98" s="38" t="s">
        <v>83</v>
      </c>
      <c r="AT98" s="38" t="s">
        <v>83</v>
      </c>
      <c r="AU98" s="38" t="s">
        <v>111</v>
      </c>
      <c r="AV98" s="46"/>
      <c r="AW98" s="46"/>
      <c r="AX98" s="40"/>
      <c r="AY98" s="41" t="str">
        <f t="shared" si="38"/>
        <v>70-80</v>
      </c>
      <c r="AZ98" s="76"/>
      <c r="BA98" s="144"/>
      <c r="BB98" s="144"/>
      <c r="BC98" s="35"/>
      <c r="BD98" s="43"/>
    </row>
    <row r="99" spans="1:62" s="49" customFormat="1">
      <c r="A99" s="39" t="s">
        <v>186</v>
      </c>
      <c r="B99" s="39" t="s">
        <v>53</v>
      </c>
      <c r="C99" s="39" t="s">
        <v>92</v>
      </c>
      <c r="D99" s="39">
        <f t="shared" si="49"/>
        <v>994800</v>
      </c>
      <c r="E99" s="64">
        <f t="shared" si="50"/>
        <v>934800</v>
      </c>
      <c r="F99" s="179">
        <f t="shared" si="39"/>
        <v>0.69533590072742835</v>
      </c>
      <c r="G99" s="45">
        <v>650000</v>
      </c>
      <c r="H99" s="39">
        <f t="shared" si="51"/>
        <v>50000</v>
      </c>
      <c r="I99" s="57">
        <f t="shared" si="35"/>
        <v>191600</v>
      </c>
      <c r="J99" s="57"/>
      <c r="K99" s="39">
        <f>100000*1.08</f>
        <v>108000</v>
      </c>
      <c r="L99" s="39">
        <f>30000*1.08</f>
        <v>32400.000000000004</v>
      </c>
      <c r="M99" s="39"/>
      <c r="N99" s="39">
        <v>15000</v>
      </c>
      <c r="O99" s="39">
        <v>20000</v>
      </c>
      <c r="P99" s="39"/>
      <c r="Q99" s="39"/>
      <c r="R99" s="39">
        <f t="shared" si="52"/>
        <v>16200.000000000002</v>
      </c>
      <c r="S99" s="65">
        <f t="shared" si="36"/>
        <v>43200</v>
      </c>
      <c r="T99" s="68"/>
      <c r="U99" s="68"/>
      <c r="V99" s="39">
        <v>21600</v>
      </c>
      <c r="W99" s="39">
        <v>10800</v>
      </c>
      <c r="X99" s="39">
        <v>10800</v>
      </c>
      <c r="Y99" s="39"/>
      <c r="Z99" s="59">
        <f t="shared" si="53"/>
        <v>30000</v>
      </c>
      <c r="AA99" s="60">
        <v>30000</v>
      </c>
      <c r="AB99" s="60">
        <v>20000</v>
      </c>
      <c r="AC99" s="60"/>
      <c r="AD99" s="59">
        <f t="shared" si="54"/>
        <v>0</v>
      </c>
      <c r="AE99" s="60"/>
      <c r="AF99" s="59">
        <f t="shared" si="55"/>
        <v>30000</v>
      </c>
      <c r="AG99" s="60">
        <v>30000</v>
      </c>
      <c r="AH99" s="59">
        <f t="shared" si="56"/>
        <v>0</v>
      </c>
      <c r="AI99" s="59"/>
      <c r="AJ99" s="59" t="s">
        <v>130</v>
      </c>
      <c r="AK99" s="66">
        <f t="shared" si="37"/>
        <v>576</v>
      </c>
      <c r="AL99" s="37">
        <v>3</v>
      </c>
      <c r="AM99" s="37">
        <v>50</v>
      </c>
      <c r="AN99" s="37">
        <v>81</v>
      </c>
      <c r="AO99" s="70">
        <f t="shared" si="40"/>
        <v>42845000</v>
      </c>
      <c r="AP99" s="39" t="s">
        <v>67</v>
      </c>
      <c r="AQ99" s="38" t="s">
        <v>109</v>
      </c>
      <c r="AR99" s="38" t="s">
        <v>83</v>
      </c>
      <c r="AS99" s="38" t="s">
        <v>83</v>
      </c>
      <c r="AT99" s="38" t="s">
        <v>83</v>
      </c>
      <c r="AU99" s="38" t="s">
        <v>111</v>
      </c>
      <c r="AV99" s="46"/>
      <c r="AW99" s="46"/>
      <c r="AX99" s="40"/>
      <c r="AY99" s="41" t="str">
        <f t="shared" si="38"/>
        <v>70-80</v>
      </c>
      <c r="AZ99" s="76"/>
      <c r="BA99" s="144"/>
      <c r="BB99" s="144"/>
      <c r="BC99" s="35"/>
      <c r="BD99" s="43"/>
    </row>
    <row r="100" spans="1:62" s="49" customFormat="1">
      <c r="A100" s="39" t="s">
        <v>186</v>
      </c>
      <c r="B100" s="39" t="s">
        <v>53</v>
      </c>
      <c r="C100" s="39" t="s">
        <v>54</v>
      </c>
      <c r="D100" s="39">
        <f t="shared" si="49"/>
        <v>1570400</v>
      </c>
      <c r="E100" s="64">
        <f t="shared" si="50"/>
        <v>1483400</v>
      </c>
      <c r="F100" s="179">
        <f t="shared" si="39"/>
        <v>0.57300795469866528</v>
      </c>
      <c r="G100" s="39">
        <v>850000</v>
      </c>
      <c r="H100" s="57">
        <f>$BF$7*AM100</f>
        <v>250000</v>
      </c>
      <c r="I100" s="57">
        <f t="shared" si="35"/>
        <v>329400</v>
      </c>
      <c r="J100" s="57"/>
      <c r="K100" s="39">
        <f>1.08*200000</f>
        <v>216000</v>
      </c>
      <c r="L100" s="39">
        <f>1.08*50000</f>
        <v>54000</v>
      </c>
      <c r="M100" s="39"/>
      <c r="N100" s="57">
        <f>15000*1.08</f>
        <v>16200.000000000002</v>
      </c>
      <c r="O100" s="57">
        <f>20000*1.08</f>
        <v>21600</v>
      </c>
      <c r="P100" s="57"/>
      <c r="Q100" s="57"/>
      <c r="R100" s="65">
        <f>$BF$7*AL100*1.08</f>
        <v>21600</v>
      </c>
      <c r="S100" s="65">
        <f t="shared" si="36"/>
        <v>54000</v>
      </c>
      <c r="T100" s="68"/>
      <c r="U100" s="68"/>
      <c r="V100" s="65">
        <v>21600</v>
      </c>
      <c r="W100" s="65">
        <v>10800</v>
      </c>
      <c r="X100" s="65">
        <v>10800</v>
      </c>
      <c r="Y100" s="65">
        <v>10800</v>
      </c>
      <c r="Z100" s="59">
        <f t="shared" si="53"/>
        <v>75000</v>
      </c>
      <c r="AA100" s="141">
        <v>55000</v>
      </c>
      <c r="AB100" s="141">
        <v>10000</v>
      </c>
      <c r="AC100" s="141">
        <f>$BF$10*AL100</f>
        <v>20000</v>
      </c>
      <c r="AD100" s="59">
        <f>$BF$11*AL100</f>
        <v>0</v>
      </c>
      <c r="AE100" s="141">
        <f>$BF$12*AL100</f>
        <v>40000</v>
      </c>
      <c r="AF100" s="59">
        <f t="shared" si="55"/>
        <v>12000</v>
      </c>
      <c r="AG100" s="141">
        <f>$BF$13*AL100</f>
        <v>12000</v>
      </c>
      <c r="AH100" s="59">
        <f>$BF$11*AL100</f>
        <v>0</v>
      </c>
      <c r="AI100" s="59"/>
      <c r="AJ100" s="59" t="s">
        <v>130</v>
      </c>
      <c r="AK100" s="66">
        <f t="shared" si="37"/>
        <v>576</v>
      </c>
      <c r="AL100" s="37">
        <v>4</v>
      </c>
      <c r="AM100" s="37">
        <v>50</v>
      </c>
      <c r="AN100" s="38">
        <v>91</v>
      </c>
      <c r="AO100" s="70">
        <f t="shared" si="40"/>
        <v>67989166.666666672</v>
      </c>
      <c r="AP100" s="39" t="s">
        <v>105</v>
      </c>
      <c r="AQ100" s="38" t="s">
        <v>109</v>
      </c>
      <c r="AR100" s="38" t="s">
        <v>83</v>
      </c>
      <c r="AS100" s="38" t="s">
        <v>83</v>
      </c>
      <c r="AT100" s="38" t="s">
        <v>83</v>
      </c>
      <c r="AU100" s="38" t="s">
        <v>111</v>
      </c>
      <c r="AV100" s="40"/>
      <c r="AW100" s="38"/>
      <c r="AX100" s="40"/>
      <c r="AY100" s="41" t="str">
        <f t="shared" si="38"/>
        <v>140-150</v>
      </c>
      <c r="AZ100" s="75"/>
      <c r="BA100" s="137"/>
      <c r="BB100" s="139"/>
      <c r="BC100" s="144"/>
      <c r="BD100" s="145"/>
      <c r="BE100" s="142"/>
      <c r="BF100" s="142"/>
      <c r="BG100" s="142"/>
      <c r="BH100" s="142"/>
      <c r="BI100" s="142"/>
      <c r="BJ100" s="142"/>
    </row>
    <row r="101" spans="1:62" s="49" customFormat="1">
      <c r="A101" s="39" t="s">
        <v>186</v>
      </c>
      <c r="B101" s="39" t="s">
        <v>53</v>
      </c>
      <c r="C101" s="39" t="s">
        <v>92</v>
      </c>
      <c r="D101" s="39">
        <f t="shared" si="49"/>
        <v>974400</v>
      </c>
      <c r="E101" s="64">
        <f t="shared" si="50"/>
        <v>914400</v>
      </c>
      <c r="F101" s="179">
        <f t="shared" si="39"/>
        <v>0.54680664916885391</v>
      </c>
      <c r="G101" s="39">
        <v>500000</v>
      </c>
      <c r="H101" s="39">
        <f t="shared" ref="H101:H123" si="57">$BH$7*AM101</f>
        <v>50000</v>
      </c>
      <c r="I101" s="57">
        <f t="shared" si="35"/>
        <v>321200</v>
      </c>
      <c r="J101" s="57"/>
      <c r="K101" s="39">
        <f>1.08*200000</f>
        <v>216000</v>
      </c>
      <c r="L101" s="39">
        <f>1.08*50000</f>
        <v>54000</v>
      </c>
      <c r="M101" s="39"/>
      <c r="N101" s="39">
        <v>15000</v>
      </c>
      <c r="O101" s="39">
        <v>20000</v>
      </c>
      <c r="P101" s="39"/>
      <c r="Q101" s="39"/>
      <c r="R101" s="39">
        <f t="shared" ref="R101:R123" si="58">$BH$8*AL101*1.08</f>
        <v>16200.000000000002</v>
      </c>
      <c r="S101" s="65">
        <f t="shared" si="36"/>
        <v>43200</v>
      </c>
      <c r="T101" s="68"/>
      <c r="U101" s="68"/>
      <c r="V101" s="39">
        <v>21600</v>
      </c>
      <c r="W101" s="39">
        <v>10800</v>
      </c>
      <c r="X101" s="39">
        <v>10800</v>
      </c>
      <c r="Y101" s="39"/>
      <c r="Z101" s="59">
        <f t="shared" si="53"/>
        <v>30000</v>
      </c>
      <c r="AA101" s="60">
        <v>30000</v>
      </c>
      <c r="AB101" s="60">
        <v>20000</v>
      </c>
      <c r="AC101" s="60"/>
      <c r="AD101" s="59">
        <f t="shared" ref="AD101:AD123" si="59">$BH$11*AL101</f>
        <v>0</v>
      </c>
      <c r="AE101" s="60"/>
      <c r="AF101" s="59">
        <f t="shared" si="55"/>
        <v>30000</v>
      </c>
      <c r="AG101" s="60">
        <v>30000</v>
      </c>
      <c r="AH101" s="59">
        <f t="shared" ref="AH101:AH123" si="60">$BH$11*AL101</f>
        <v>0</v>
      </c>
      <c r="AI101" s="59"/>
      <c r="AJ101" s="59" t="s">
        <v>130</v>
      </c>
      <c r="AK101" s="66">
        <f t="shared" si="37"/>
        <v>576</v>
      </c>
      <c r="AL101" s="37">
        <v>3</v>
      </c>
      <c r="AM101" s="37">
        <v>50</v>
      </c>
      <c r="AN101" s="37">
        <v>81</v>
      </c>
      <c r="AO101" s="70">
        <f t="shared" si="40"/>
        <v>41910000</v>
      </c>
      <c r="AP101" s="39" t="s">
        <v>104</v>
      </c>
      <c r="AQ101" s="38" t="s">
        <v>109</v>
      </c>
      <c r="AR101" s="38" t="s">
        <v>83</v>
      </c>
      <c r="AS101" s="38" t="s">
        <v>83</v>
      </c>
      <c r="AT101" s="38" t="s">
        <v>83</v>
      </c>
      <c r="AU101" s="38" t="s">
        <v>111</v>
      </c>
      <c r="AV101" s="40">
        <v>21</v>
      </c>
      <c r="AW101" s="38">
        <v>19</v>
      </c>
      <c r="AX101" s="40">
        <f>E101*AW101</f>
        <v>17373600</v>
      </c>
      <c r="AY101" s="41" t="str">
        <f t="shared" si="38"/>
        <v>70-80</v>
      </c>
      <c r="AZ101" s="75"/>
      <c r="BA101" s="142"/>
      <c r="BB101" s="142"/>
      <c r="BC101" s="47"/>
      <c r="BD101" s="48"/>
      <c r="BE101" s="36"/>
      <c r="BF101" s="36"/>
      <c r="BG101" s="36"/>
      <c r="BH101" s="36"/>
      <c r="BI101" s="36"/>
      <c r="BJ101" s="36"/>
    </row>
    <row r="102" spans="1:62" s="49" customFormat="1">
      <c r="A102" s="39" t="s">
        <v>186</v>
      </c>
      <c r="B102" s="39" t="s">
        <v>53</v>
      </c>
      <c r="C102" s="39" t="s">
        <v>92</v>
      </c>
      <c r="D102" s="39">
        <f t="shared" si="49"/>
        <v>974400</v>
      </c>
      <c r="E102" s="64">
        <f t="shared" si="50"/>
        <v>914400</v>
      </c>
      <c r="F102" s="179">
        <f t="shared" si="39"/>
        <v>0.54680664916885391</v>
      </c>
      <c r="G102" s="39">
        <v>500000</v>
      </c>
      <c r="H102" s="39">
        <f t="shared" si="57"/>
        <v>50000</v>
      </c>
      <c r="I102" s="57">
        <f t="shared" ref="I102:I133" si="61">SUM(J102:R102)</f>
        <v>321200</v>
      </c>
      <c r="J102" s="57"/>
      <c r="K102" s="39">
        <f>1.08*200000</f>
        <v>216000</v>
      </c>
      <c r="L102" s="39">
        <f>1.08*50000</f>
        <v>54000</v>
      </c>
      <c r="M102" s="39"/>
      <c r="N102" s="39">
        <v>15000</v>
      </c>
      <c r="O102" s="39">
        <v>20000</v>
      </c>
      <c r="P102" s="39"/>
      <c r="Q102" s="39"/>
      <c r="R102" s="39">
        <f t="shared" si="58"/>
        <v>16200.000000000002</v>
      </c>
      <c r="S102" s="65">
        <f t="shared" ref="S102:S111" si="62">SUM(T102:Y102)</f>
        <v>43200</v>
      </c>
      <c r="T102" s="68"/>
      <c r="U102" s="68"/>
      <c r="V102" s="39">
        <v>21600</v>
      </c>
      <c r="W102" s="39">
        <v>10800</v>
      </c>
      <c r="X102" s="39">
        <v>10800</v>
      </c>
      <c r="Y102" s="39"/>
      <c r="Z102" s="59">
        <f t="shared" si="53"/>
        <v>30000</v>
      </c>
      <c r="AA102" s="60">
        <v>30000</v>
      </c>
      <c r="AB102" s="60">
        <v>20000</v>
      </c>
      <c r="AC102" s="60"/>
      <c r="AD102" s="59">
        <f t="shared" si="59"/>
        <v>0</v>
      </c>
      <c r="AE102" s="60"/>
      <c r="AF102" s="59">
        <f t="shared" si="55"/>
        <v>30000</v>
      </c>
      <c r="AG102" s="60">
        <v>30000</v>
      </c>
      <c r="AH102" s="59">
        <f t="shared" si="60"/>
        <v>0</v>
      </c>
      <c r="AI102" s="59"/>
      <c r="AJ102" s="59" t="s">
        <v>130</v>
      </c>
      <c r="AK102" s="66">
        <f t="shared" ref="AK102:AK123" si="63">24*24</f>
        <v>576</v>
      </c>
      <c r="AL102" s="37">
        <v>3</v>
      </c>
      <c r="AM102" s="37">
        <v>50</v>
      </c>
      <c r="AN102" s="37">
        <v>81</v>
      </c>
      <c r="AO102" s="70">
        <f t="shared" si="40"/>
        <v>41910000</v>
      </c>
      <c r="AP102" s="39" t="s">
        <v>123</v>
      </c>
      <c r="AQ102" s="38" t="s">
        <v>109</v>
      </c>
      <c r="AR102" s="38" t="s">
        <v>83</v>
      </c>
      <c r="AS102" s="38" t="s">
        <v>83</v>
      </c>
      <c r="AT102" s="38" t="s">
        <v>83</v>
      </c>
      <c r="AU102" s="38" t="s">
        <v>111</v>
      </c>
      <c r="AV102" s="40"/>
      <c r="AW102" s="38"/>
      <c r="AX102" s="40"/>
      <c r="AY102" s="41" t="str">
        <f t="shared" ref="AY102:AY133" si="64">VLOOKUP(E102,$BC$6:$BD$28,2)</f>
        <v>70-80</v>
      </c>
      <c r="AZ102" s="75"/>
      <c r="BA102" s="142"/>
      <c r="BB102" s="142"/>
      <c r="BC102" s="47"/>
      <c r="BD102" s="48"/>
      <c r="BE102" s="36"/>
      <c r="BF102" s="36"/>
      <c r="BG102" s="36"/>
      <c r="BH102" s="36"/>
      <c r="BI102" s="36"/>
      <c r="BJ102" s="36"/>
    </row>
    <row r="103" spans="1:62" s="49" customFormat="1">
      <c r="A103" s="39" t="s">
        <v>186</v>
      </c>
      <c r="B103" s="39" t="s">
        <v>53</v>
      </c>
      <c r="C103" s="39" t="s">
        <v>92</v>
      </c>
      <c r="D103" s="39">
        <f t="shared" si="49"/>
        <v>974400</v>
      </c>
      <c r="E103" s="64">
        <f t="shared" si="50"/>
        <v>914400</v>
      </c>
      <c r="F103" s="179">
        <f t="shared" si="39"/>
        <v>0.54680664916885391</v>
      </c>
      <c r="G103" s="39">
        <v>500000</v>
      </c>
      <c r="H103" s="39">
        <f t="shared" si="57"/>
        <v>50000</v>
      </c>
      <c r="I103" s="57">
        <f t="shared" si="61"/>
        <v>321200</v>
      </c>
      <c r="J103" s="57"/>
      <c r="K103" s="39">
        <f>1.08*200000</f>
        <v>216000</v>
      </c>
      <c r="L103" s="39">
        <f>1.08*50000</f>
        <v>54000</v>
      </c>
      <c r="M103" s="39"/>
      <c r="N103" s="39">
        <v>15000</v>
      </c>
      <c r="O103" s="39">
        <v>20000</v>
      </c>
      <c r="P103" s="39"/>
      <c r="Q103" s="39"/>
      <c r="R103" s="39">
        <f t="shared" si="58"/>
        <v>16200.000000000002</v>
      </c>
      <c r="S103" s="65">
        <f t="shared" si="62"/>
        <v>43200</v>
      </c>
      <c r="T103" s="68"/>
      <c r="U103" s="68"/>
      <c r="V103" s="39">
        <v>21600</v>
      </c>
      <c r="W103" s="39">
        <v>10800</v>
      </c>
      <c r="X103" s="39">
        <v>10800</v>
      </c>
      <c r="Y103" s="39"/>
      <c r="Z103" s="59">
        <f t="shared" si="53"/>
        <v>30000</v>
      </c>
      <c r="AA103" s="60">
        <v>30000</v>
      </c>
      <c r="AB103" s="60">
        <v>20000</v>
      </c>
      <c r="AC103" s="60"/>
      <c r="AD103" s="59">
        <f t="shared" si="59"/>
        <v>0</v>
      </c>
      <c r="AE103" s="60"/>
      <c r="AF103" s="59">
        <f t="shared" si="55"/>
        <v>30000</v>
      </c>
      <c r="AG103" s="60">
        <v>30000</v>
      </c>
      <c r="AH103" s="59">
        <f t="shared" si="60"/>
        <v>0</v>
      </c>
      <c r="AI103" s="59"/>
      <c r="AJ103" s="59" t="s">
        <v>130</v>
      </c>
      <c r="AK103" s="66">
        <f t="shared" si="63"/>
        <v>576</v>
      </c>
      <c r="AL103" s="37">
        <v>3</v>
      </c>
      <c r="AM103" s="37">
        <v>50</v>
      </c>
      <c r="AN103" s="37">
        <v>81</v>
      </c>
      <c r="AO103" s="70">
        <f t="shared" si="40"/>
        <v>41910000</v>
      </c>
      <c r="AP103" s="39" t="s">
        <v>105</v>
      </c>
      <c r="AQ103" s="38" t="s">
        <v>109</v>
      </c>
      <c r="AR103" s="38" t="s">
        <v>83</v>
      </c>
      <c r="AS103" s="38" t="s">
        <v>83</v>
      </c>
      <c r="AT103" s="38" t="s">
        <v>83</v>
      </c>
      <c r="AU103" s="38" t="s">
        <v>111</v>
      </c>
      <c r="AV103" s="40"/>
      <c r="AW103" s="38"/>
      <c r="AX103" s="40"/>
      <c r="AY103" s="41" t="str">
        <f t="shared" si="64"/>
        <v>70-80</v>
      </c>
      <c r="AZ103" s="75"/>
      <c r="BA103" s="143"/>
      <c r="BB103" s="143"/>
      <c r="BC103" s="47"/>
      <c r="BD103" s="48"/>
      <c r="BE103" s="36"/>
      <c r="BF103" s="36"/>
      <c r="BG103" s="36"/>
      <c r="BH103" s="36"/>
      <c r="BI103" s="36"/>
      <c r="BJ103" s="36"/>
    </row>
    <row r="104" spans="1:62" s="49" customFormat="1">
      <c r="A104" s="39" t="s">
        <v>186</v>
      </c>
      <c r="B104" s="39" t="s">
        <v>53</v>
      </c>
      <c r="C104" s="39" t="s">
        <v>92</v>
      </c>
      <c r="D104" s="39">
        <f t="shared" si="49"/>
        <v>959600</v>
      </c>
      <c r="E104" s="64">
        <f t="shared" si="50"/>
        <v>899600</v>
      </c>
      <c r="F104" s="179">
        <f t="shared" si="39"/>
        <v>0.61138283681636285</v>
      </c>
      <c r="G104" s="45">
        <v>550000</v>
      </c>
      <c r="H104" s="39">
        <f t="shared" si="57"/>
        <v>50000</v>
      </c>
      <c r="I104" s="57">
        <f t="shared" si="61"/>
        <v>256400</v>
      </c>
      <c r="J104" s="57"/>
      <c r="K104" s="39">
        <f>150000*1.08</f>
        <v>162000</v>
      </c>
      <c r="L104" s="39">
        <f>40000*1.08</f>
        <v>43200</v>
      </c>
      <c r="M104" s="39"/>
      <c r="N104" s="39">
        <v>15000</v>
      </c>
      <c r="O104" s="39">
        <v>20000</v>
      </c>
      <c r="P104" s="39"/>
      <c r="Q104" s="39"/>
      <c r="R104" s="39">
        <f t="shared" si="58"/>
        <v>16200.000000000002</v>
      </c>
      <c r="S104" s="65">
        <f t="shared" si="62"/>
        <v>43200</v>
      </c>
      <c r="T104" s="68"/>
      <c r="U104" s="68"/>
      <c r="V104" s="39">
        <v>21600</v>
      </c>
      <c r="W104" s="39">
        <v>10800</v>
      </c>
      <c r="X104" s="39">
        <v>10800</v>
      </c>
      <c r="Y104" s="39"/>
      <c r="Z104" s="59">
        <f t="shared" si="53"/>
        <v>30000</v>
      </c>
      <c r="AA104" s="60">
        <v>30000</v>
      </c>
      <c r="AB104" s="60">
        <v>20000</v>
      </c>
      <c r="AC104" s="60"/>
      <c r="AD104" s="59">
        <f t="shared" si="59"/>
        <v>0</v>
      </c>
      <c r="AE104" s="60"/>
      <c r="AF104" s="59">
        <f t="shared" si="55"/>
        <v>30000</v>
      </c>
      <c r="AG104" s="60">
        <v>30000</v>
      </c>
      <c r="AH104" s="59">
        <f t="shared" si="60"/>
        <v>0</v>
      </c>
      <c r="AI104" s="59"/>
      <c r="AJ104" s="59" t="s">
        <v>130</v>
      </c>
      <c r="AK104" s="66">
        <f t="shared" si="63"/>
        <v>576</v>
      </c>
      <c r="AL104" s="37">
        <v>3</v>
      </c>
      <c r="AM104" s="37">
        <v>50</v>
      </c>
      <c r="AN104" s="37">
        <v>81</v>
      </c>
      <c r="AO104" s="70">
        <f t="shared" si="40"/>
        <v>41231666.666666664</v>
      </c>
      <c r="AP104" s="39" t="s">
        <v>124</v>
      </c>
      <c r="AQ104" s="38" t="s">
        <v>109</v>
      </c>
      <c r="AR104" s="38" t="s">
        <v>83</v>
      </c>
      <c r="AS104" s="38" t="s">
        <v>83</v>
      </c>
      <c r="AT104" s="38" t="s">
        <v>83</v>
      </c>
      <c r="AU104" s="38" t="s">
        <v>111</v>
      </c>
      <c r="AV104" s="46"/>
      <c r="AW104" s="46"/>
      <c r="AX104" s="40"/>
      <c r="AY104" s="41" t="str">
        <f t="shared" si="64"/>
        <v>70-80</v>
      </c>
      <c r="AZ104" s="76"/>
      <c r="BA104" s="144"/>
      <c r="BB104" s="144"/>
      <c r="BC104" s="144"/>
      <c r="BD104" s="145"/>
    </row>
    <row r="105" spans="1:62" s="49" customFormat="1">
      <c r="A105" s="39" t="s">
        <v>186</v>
      </c>
      <c r="B105" s="39" t="s">
        <v>53</v>
      </c>
      <c r="C105" s="39" t="s">
        <v>92</v>
      </c>
      <c r="D105" s="39">
        <f t="shared" si="49"/>
        <v>959600</v>
      </c>
      <c r="E105" s="64">
        <f t="shared" si="50"/>
        <v>899600</v>
      </c>
      <c r="F105" s="179">
        <f t="shared" si="39"/>
        <v>0.61138283681636285</v>
      </c>
      <c r="G105" s="45">
        <v>550000</v>
      </c>
      <c r="H105" s="39">
        <f t="shared" si="57"/>
        <v>50000</v>
      </c>
      <c r="I105" s="57">
        <f t="shared" si="61"/>
        <v>256400</v>
      </c>
      <c r="J105" s="57"/>
      <c r="K105" s="39">
        <f>150000*1.08</f>
        <v>162000</v>
      </c>
      <c r="L105" s="39">
        <f>40000*1.08</f>
        <v>43200</v>
      </c>
      <c r="M105" s="39"/>
      <c r="N105" s="39">
        <v>15000</v>
      </c>
      <c r="O105" s="39">
        <v>20000</v>
      </c>
      <c r="P105" s="39"/>
      <c r="Q105" s="39"/>
      <c r="R105" s="39">
        <f t="shared" si="58"/>
        <v>16200.000000000002</v>
      </c>
      <c r="S105" s="65">
        <f t="shared" si="62"/>
        <v>43200</v>
      </c>
      <c r="T105" s="68"/>
      <c r="U105" s="68"/>
      <c r="V105" s="39">
        <v>21600</v>
      </c>
      <c r="W105" s="39">
        <v>10800</v>
      </c>
      <c r="X105" s="39">
        <v>10800</v>
      </c>
      <c r="Y105" s="39"/>
      <c r="Z105" s="59">
        <f t="shared" si="53"/>
        <v>30000</v>
      </c>
      <c r="AA105" s="60">
        <v>30000</v>
      </c>
      <c r="AB105" s="60">
        <v>20000</v>
      </c>
      <c r="AC105" s="60"/>
      <c r="AD105" s="59">
        <f t="shared" si="59"/>
        <v>0</v>
      </c>
      <c r="AE105" s="60"/>
      <c r="AF105" s="59">
        <f t="shared" si="55"/>
        <v>30000</v>
      </c>
      <c r="AG105" s="60">
        <v>30000</v>
      </c>
      <c r="AH105" s="59">
        <f t="shared" si="60"/>
        <v>0</v>
      </c>
      <c r="AI105" s="59"/>
      <c r="AJ105" s="59" t="s">
        <v>130</v>
      </c>
      <c r="AK105" s="66">
        <f t="shared" si="63"/>
        <v>576</v>
      </c>
      <c r="AL105" s="37">
        <v>3</v>
      </c>
      <c r="AM105" s="37">
        <v>50</v>
      </c>
      <c r="AN105" s="37">
        <v>81</v>
      </c>
      <c r="AO105" s="70">
        <f t="shared" si="40"/>
        <v>41231666.666666664</v>
      </c>
      <c r="AP105" s="39" t="s">
        <v>125</v>
      </c>
      <c r="AQ105" s="38" t="s">
        <v>109</v>
      </c>
      <c r="AR105" s="38" t="s">
        <v>83</v>
      </c>
      <c r="AS105" s="38" t="s">
        <v>83</v>
      </c>
      <c r="AT105" s="38" t="s">
        <v>83</v>
      </c>
      <c r="AU105" s="38" t="s">
        <v>111</v>
      </c>
      <c r="AV105" s="46"/>
      <c r="AW105" s="46"/>
      <c r="AX105" s="40"/>
      <c r="AY105" s="41" t="str">
        <f t="shared" si="64"/>
        <v>70-80</v>
      </c>
      <c r="AZ105" s="76"/>
      <c r="BA105" s="144"/>
      <c r="BB105" s="144"/>
      <c r="BC105" s="144"/>
      <c r="BD105" s="145"/>
    </row>
    <row r="106" spans="1:62" s="49" customFormat="1">
      <c r="A106" s="39" t="s">
        <v>186</v>
      </c>
      <c r="B106" s="39" t="s">
        <v>53</v>
      </c>
      <c r="C106" s="39" t="s">
        <v>92</v>
      </c>
      <c r="D106" s="39">
        <f t="shared" si="49"/>
        <v>959600</v>
      </c>
      <c r="E106" s="64">
        <f t="shared" si="50"/>
        <v>899600</v>
      </c>
      <c r="F106" s="179">
        <f t="shared" si="39"/>
        <v>0.61138283681636285</v>
      </c>
      <c r="G106" s="45">
        <v>550000</v>
      </c>
      <c r="H106" s="39">
        <f t="shared" si="57"/>
        <v>50000</v>
      </c>
      <c r="I106" s="57">
        <f t="shared" si="61"/>
        <v>256400</v>
      </c>
      <c r="J106" s="57"/>
      <c r="K106" s="39">
        <f>150000*1.08</f>
        <v>162000</v>
      </c>
      <c r="L106" s="39">
        <f>40000*1.08</f>
        <v>43200</v>
      </c>
      <c r="M106" s="39"/>
      <c r="N106" s="39">
        <v>15000</v>
      </c>
      <c r="O106" s="39">
        <v>20000</v>
      </c>
      <c r="P106" s="39"/>
      <c r="Q106" s="39"/>
      <c r="R106" s="39">
        <f t="shared" si="58"/>
        <v>16200.000000000002</v>
      </c>
      <c r="S106" s="65">
        <f t="shared" si="62"/>
        <v>43200</v>
      </c>
      <c r="T106" s="68"/>
      <c r="U106" s="68"/>
      <c r="V106" s="39">
        <v>21600</v>
      </c>
      <c r="W106" s="39">
        <v>10800</v>
      </c>
      <c r="X106" s="39">
        <v>10800</v>
      </c>
      <c r="Y106" s="39"/>
      <c r="Z106" s="59">
        <f t="shared" si="53"/>
        <v>30000</v>
      </c>
      <c r="AA106" s="60">
        <v>30000</v>
      </c>
      <c r="AB106" s="60">
        <v>20000</v>
      </c>
      <c r="AC106" s="60"/>
      <c r="AD106" s="59">
        <f t="shared" si="59"/>
        <v>0</v>
      </c>
      <c r="AE106" s="60"/>
      <c r="AF106" s="59">
        <f t="shared" si="55"/>
        <v>30000</v>
      </c>
      <c r="AG106" s="60">
        <v>30000</v>
      </c>
      <c r="AH106" s="59">
        <f t="shared" si="60"/>
        <v>0</v>
      </c>
      <c r="AI106" s="59"/>
      <c r="AJ106" s="59" t="s">
        <v>130</v>
      </c>
      <c r="AK106" s="66">
        <f t="shared" si="63"/>
        <v>576</v>
      </c>
      <c r="AL106" s="37">
        <v>3</v>
      </c>
      <c r="AM106" s="37">
        <v>50</v>
      </c>
      <c r="AN106" s="37">
        <v>81</v>
      </c>
      <c r="AO106" s="70">
        <f t="shared" si="40"/>
        <v>41231666.666666664</v>
      </c>
      <c r="AP106" s="39" t="s">
        <v>102</v>
      </c>
      <c r="AQ106" s="38" t="s">
        <v>109</v>
      </c>
      <c r="AR106" s="38" t="s">
        <v>83</v>
      </c>
      <c r="AS106" s="38" t="s">
        <v>83</v>
      </c>
      <c r="AT106" s="38" t="s">
        <v>83</v>
      </c>
      <c r="AU106" s="38" t="s">
        <v>111</v>
      </c>
      <c r="AV106" s="46"/>
      <c r="AW106" s="46"/>
      <c r="AX106" s="40"/>
      <c r="AY106" s="41" t="str">
        <f t="shared" si="64"/>
        <v>70-80</v>
      </c>
      <c r="AZ106" s="76"/>
      <c r="BA106" s="144"/>
      <c r="BB106" s="144"/>
      <c r="BC106" s="47"/>
      <c r="BD106" s="48"/>
    </row>
    <row r="107" spans="1:62" s="49" customFormat="1">
      <c r="A107" s="39" t="s">
        <v>186</v>
      </c>
      <c r="B107" s="39" t="s">
        <v>53</v>
      </c>
      <c r="C107" s="39" t="s">
        <v>92</v>
      </c>
      <c r="D107" s="39">
        <f t="shared" si="49"/>
        <v>955600</v>
      </c>
      <c r="E107" s="64">
        <f t="shared" si="50"/>
        <v>895600</v>
      </c>
      <c r="F107" s="179">
        <f t="shared" si="39"/>
        <v>0.66994193836534166</v>
      </c>
      <c r="G107" s="45">
        <v>600000</v>
      </c>
      <c r="H107" s="39">
        <f t="shared" si="57"/>
        <v>50000</v>
      </c>
      <c r="I107" s="57">
        <f t="shared" si="61"/>
        <v>202400</v>
      </c>
      <c r="J107" s="57"/>
      <c r="K107" s="39">
        <f>70000*1.08</f>
        <v>75600</v>
      </c>
      <c r="L107" s="39">
        <f>20000*1.08</f>
        <v>21600</v>
      </c>
      <c r="M107" s="39">
        <f>50000*1.08</f>
        <v>54000</v>
      </c>
      <c r="N107" s="39">
        <v>15000</v>
      </c>
      <c r="O107" s="39">
        <v>20000</v>
      </c>
      <c r="P107" s="39"/>
      <c r="Q107" s="39"/>
      <c r="R107" s="39">
        <f t="shared" si="58"/>
        <v>16200.000000000002</v>
      </c>
      <c r="S107" s="65">
        <f t="shared" si="62"/>
        <v>43200</v>
      </c>
      <c r="T107" s="68"/>
      <c r="U107" s="68"/>
      <c r="V107" s="39">
        <v>21600</v>
      </c>
      <c r="W107" s="39">
        <v>10800</v>
      </c>
      <c r="X107" s="39">
        <v>10800</v>
      </c>
      <c r="Y107" s="39"/>
      <c r="Z107" s="59">
        <f t="shared" si="53"/>
        <v>30000</v>
      </c>
      <c r="AA107" s="60">
        <v>30000</v>
      </c>
      <c r="AB107" s="60">
        <v>20000</v>
      </c>
      <c r="AC107" s="60"/>
      <c r="AD107" s="59">
        <f t="shared" si="59"/>
        <v>0</v>
      </c>
      <c r="AE107" s="60"/>
      <c r="AF107" s="59">
        <f t="shared" si="55"/>
        <v>30000</v>
      </c>
      <c r="AG107" s="60">
        <v>30000</v>
      </c>
      <c r="AH107" s="59">
        <f t="shared" si="60"/>
        <v>0</v>
      </c>
      <c r="AI107" s="59"/>
      <c r="AJ107" s="59" t="s">
        <v>130</v>
      </c>
      <c r="AK107" s="66">
        <f t="shared" si="63"/>
        <v>576</v>
      </c>
      <c r="AL107" s="37">
        <v>3</v>
      </c>
      <c r="AM107" s="37">
        <v>50</v>
      </c>
      <c r="AN107" s="37">
        <v>81</v>
      </c>
      <c r="AO107" s="70">
        <f t="shared" si="40"/>
        <v>41048333.333333328</v>
      </c>
      <c r="AP107" s="39" t="s">
        <v>60</v>
      </c>
      <c r="AQ107" s="38" t="s">
        <v>109</v>
      </c>
      <c r="AR107" s="38" t="s">
        <v>83</v>
      </c>
      <c r="AS107" s="38" t="s">
        <v>83</v>
      </c>
      <c r="AT107" s="38" t="s">
        <v>83</v>
      </c>
      <c r="AU107" s="38" t="s">
        <v>111</v>
      </c>
      <c r="AV107" s="46"/>
      <c r="AW107" s="46"/>
      <c r="AX107" s="40"/>
      <c r="AY107" s="41" t="str">
        <f t="shared" si="64"/>
        <v>70-80</v>
      </c>
      <c r="AZ107" s="76"/>
      <c r="BA107" s="144"/>
      <c r="BB107" s="144"/>
      <c r="BC107" s="143"/>
      <c r="BD107" s="154"/>
    </row>
    <row r="108" spans="1:62" s="49" customFormat="1">
      <c r="A108" s="39" t="s">
        <v>186</v>
      </c>
      <c r="B108" s="39" t="s">
        <v>53</v>
      </c>
      <c r="C108" s="39" t="s">
        <v>92</v>
      </c>
      <c r="D108" s="39">
        <f t="shared" si="49"/>
        <v>944800</v>
      </c>
      <c r="E108" s="64">
        <f t="shared" si="50"/>
        <v>884800</v>
      </c>
      <c r="F108" s="179">
        <f t="shared" si="39"/>
        <v>0.67811934900542492</v>
      </c>
      <c r="G108" s="45">
        <v>600000</v>
      </c>
      <c r="H108" s="39">
        <f t="shared" si="57"/>
        <v>50000</v>
      </c>
      <c r="I108" s="57">
        <f t="shared" si="61"/>
        <v>191600</v>
      </c>
      <c r="J108" s="57"/>
      <c r="K108" s="39">
        <f>100000*1.08</f>
        <v>108000</v>
      </c>
      <c r="L108" s="39">
        <f>30000*1.08</f>
        <v>32400.000000000004</v>
      </c>
      <c r="M108" s="39"/>
      <c r="N108" s="39">
        <v>15000</v>
      </c>
      <c r="O108" s="39">
        <v>20000</v>
      </c>
      <c r="P108" s="39"/>
      <c r="Q108" s="39"/>
      <c r="R108" s="39">
        <f t="shared" si="58"/>
        <v>16200.000000000002</v>
      </c>
      <c r="S108" s="65">
        <f t="shared" si="62"/>
        <v>43200</v>
      </c>
      <c r="T108" s="68"/>
      <c r="U108" s="68"/>
      <c r="V108" s="39">
        <v>21600</v>
      </c>
      <c r="W108" s="39">
        <v>10800</v>
      </c>
      <c r="X108" s="39">
        <v>10800</v>
      </c>
      <c r="Y108" s="39"/>
      <c r="Z108" s="59">
        <f t="shared" si="53"/>
        <v>30000</v>
      </c>
      <c r="AA108" s="60">
        <v>30000</v>
      </c>
      <c r="AB108" s="60">
        <v>20000</v>
      </c>
      <c r="AC108" s="60"/>
      <c r="AD108" s="59">
        <f t="shared" si="59"/>
        <v>0</v>
      </c>
      <c r="AE108" s="60"/>
      <c r="AF108" s="59">
        <f t="shared" si="55"/>
        <v>30000</v>
      </c>
      <c r="AG108" s="60">
        <v>30000</v>
      </c>
      <c r="AH108" s="59">
        <f t="shared" si="60"/>
        <v>0</v>
      </c>
      <c r="AI108" s="59"/>
      <c r="AJ108" s="59" t="s">
        <v>130</v>
      </c>
      <c r="AK108" s="66">
        <f t="shared" si="63"/>
        <v>576</v>
      </c>
      <c r="AL108" s="37">
        <v>3</v>
      </c>
      <c r="AM108" s="37">
        <v>50</v>
      </c>
      <c r="AN108" s="37">
        <v>81</v>
      </c>
      <c r="AO108" s="70">
        <f t="shared" si="40"/>
        <v>40553333.333333336</v>
      </c>
      <c r="AP108" s="39" t="s">
        <v>67</v>
      </c>
      <c r="AQ108" s="38" t="s">
        <v>109</v>
      </c>
      <c r="AR108" s="38" t="s">
        <v>83</v>
      </c>
      <c r="AS108" s="38" t="s">
        <v>83</v>
      </c>
      <c r="AT108" s="38" t="s">
        <v>83</v>
      </c>
      <c r="AU108" s="38" t="s">
        <v>111</v>
      </c>
      <c r="AV108" s="46"/>
      <c r="AW108" s="46"/>
      <c r="AX108" s="40"/>
      <c r="AY108" s="41" t="str">
        <f t="shared" si="64"/>
        <v>70-80</v>
      </c>
      <c r="AZ108" s="76"/>
      <c r="BA108" s="144"/>
      <c r="BB108" s="144"/>
      <c r="BC108" s="143"/>
      <c r="BD108" s="154"/>
    </row>
    <row r="109" spans="1:62" s="49" customFormat="1">
      <c r="A109" s="39" t="s">
        <v>186</v>
      </c>
      <c r="B109" s="39" t="s">
        <v>53</v>
      </c>
      <c r="C109" s="39" t="s">
        <v>92</v>
      </c>
      <c r="D109" s="39">
        <f t="shared" si="49"/>
        <v>909600</v>
      </c>
      <c r="E109" s="64">
        <f t="shared" si="50"/>
        <v>849600</v>
      </c>
      <c r="F109" s="179">
        <f t="shared" si="39"/>
        <v>0.58851224105461397</v>
      </c>
      <c r="G109" s="39">
        <v>500000</v>
      </c>
      <c r="H109" s="39">
        <f t="shared" si="57"/>
        <v>50000</v>
      </c>
      <c r="I109" s="57">
        <f t="shared" si="61"/>
        <v>256400</v>
      </c>
      <c r="J109" s="57"/>
      <c r="K109" s="39">
        <f>150000*1.08</f>
        <v>162000</v>
      </c>
      <c r="L109" s="39">
        <f>40000*1.08</f>
        <v>43200</v>
      </c>
      <c r="M109" s="39"/>
      <c r="N109" s="39">
        <v>15000</v>
      </c>
      <c r="O109" s="39">
        <v>20000</v>
      </c>
      <c r="P109" s="39"/>
      <c r="Q109" s="39"/>
      <c r="R109" s="39">
        <f t="shared" si="58"/>
        <v>16200.000000000002</v>
      </c>
      <c r="S109" s="65">
        <f t="shared" si="62"/>
        <v>43200</v>
      </c>
      <c r="T109" s="68"/>
      <c r="U109" s="68"/>
      <c r="V109" s="39">
        <v>21600</v>
      </c>
      <c r="W109" s="39">
        <v>10800</v>
      </c>
      <c r="X109" s="39">
        <v>10800</v>
      </c>
      <c r="Y109" s="39"/>
      <c r="Z109" s="59">
        <f t="shared" si="53"/>
        <v>30000</v>
      </c>
      <c r="AA109" s="60">
        <v>30000</v>
      </c>
      <c r="AB109" s="60">
        <v>20000</v>
      </c>
      <c r="AC109" s="60"/>
      <c r="AD109" s="59">
        <f t="shared" si="59"/>
        <v>0</v>
      </c>
      <c r="AE109" s="60"/>
      <c r="AF109" s="59">
        <f t="shared" si="55"/>
        <v>30000</v>
      </c>
      <c r="AG109" s="60">
        <v>30000</v>
      </c>
      <c r="AH109" s="59">
        <f t="shared" si="60"/>
        <v>0</v>
      </c>
      <c r="AI109" s="59"/>
      <c r="AJ109" s="59" t="s">
        <v>130</v>
      </c>
      <c r="AK109" s="66">
        <f t="shared" si="63"/>
        <v>576</v>
      </c>
      <c r="AL109" s="37">
        <v>3</v>
      </c>
      <c r="AM109" s="37">
        <v>50</v>
      </c>
      <c r="AN109" s="37">
        <v>81</v>
      </c>
      <c r="AO109" s="70">
        <f t="shared" si="40"/>
        <v>38940000</v>
      </c>
      <c r="AP109" s="39" t="s">
        <v>124</v>
      </c>
      <c r="AQ109" s="38" t="s">
        <v>109</v>
      </c>
      <c r="AR109" s="38" t="s">
        <v>83</v>
      </c>
      <c r="AS109" s="38" t="s">
        <v>83</v>
      </c>
      <c r="AT109" s="38" t="s">
        <v>83</v>
      </c>
      <c r="AU109" s="38" t="s">
        <v>111</v>
      </c>
      <c r="AV109" s="40"/>
      <c r="AW109" s="38"/>
      <c r="AX109" s="40"/>
      <c r="AY109" s="41" t="str">
        <f t="shared" si="64"/>
        <v>70-80</v>
      </c>
      <c r="AZ109" s="75"/>
      <c r="BA109" s="143"/>
      <c r="BB109" s="143"/>
      <c r="BC109" s="144"/>
      <c r="BD109" s="145"/>
      <c r="BE109" s="36"/>
      <c r="BF109" s="36"/>
      <c r="BG109" s="36"/>
      <c r="BH109" s="36"/>
      <c r="BI109" s="36"/>
      <c r="BJ109" s="36"/>
    </row>
    <row r="110" spans="1:62" s="49" customFormat="1">
      <c r="A110" s="39" t="s">
        <v>186</v>
      </c>
      <c r="B110" s="39" t="s">
        <v>53</v>
      </c>
      <c r="C110" s="39" t="s">
        <v>92</v>
      </c>
      <c r="D110" s="39">
        <f t="shared" si="49"/>
        <v>909600</v>
      </c>
      <c r="E110" s="64">
        <f t="shared" si="50"/>
        <v>849600</v>
      </c>
      <c r="F110" s="179">
        <f t="shared" si="39"/>
        <v>0.58851224105461397</v>
      </c>
      <c r="G110" s="39">
        <v>500000</v>
      </c>
      <c r="H110" s="39">
        <f t="shared" si="57"/>
        <v>50000</v>
      </c>
      <c r="I110" s="57">
        <f t="shared" si="61"/>
        <v>256400</v>
      </c>
      <c r="J110" s="57"/>
      <c r="K110" s="39">
        <f>150000*1.08</f>
        <v>162000</v>
      </c>
      <c r="L110" s="39">
        <f>40000*1.08</f>
        <v>43200</v>
      </c>
      <c r="M110" s="39"/>
      <c r="N110" s="39">
        <v>15000</v>
      </c>
      <c r="O110" s="39">
        <v>20000</v>
      </c>
      <c r="P110" s="39"/>
      <c r="Q110" s="39"/>
      <c r="R110" s="39">
        <f t="shared" si="58"/>
        <v>16200.000000000002</v>
      </c>
      <c r="S110" s="65">
        <f t="shared" si="62"/>
        <v>43200</v>
      </c>
      <c r="T110" s="68"/>
      <c r="U110" s="68"/>
      <c r="V110" s="39">
        <v>21600</v>
      </c>
      <c r="W110" s="39">
        <v>10800</v>
      </c>
      <c r="X110" s="39">
        <v>10800</v>
      </c>
      <c r="Y110" s="39"/>
      <c r="Z110" s="59">
        <f t="shared" si="53"/>
        <v>30000</v>
      </c>
      <c r="AA110" s="60">
        <v>30000</v>
      </c>
      <c r="AB110" s="60">
        <v>20000</v>
      </c>
      <c r="AC110" s="60"/>
      <c r="AD110" s="59">
        <f t="shared" si="59"/>
        <v>0</v>
      </c>
      <c r="AE110" s="60"/>
      <c r="AF110" s="59">
        <f t="shared" si="55"/>
        <v>30000</v>
      </c>
      <c r="AG110" s="60">
        <v>30000</v>
      </c>
      <c r="AH110" s="59">
        <f t="shared" si="60"/>
        <v>0</v>
      </c>
      <c r="AI110" s="59"/>
      <c r="AJ110" s="59" t="s">
        <v>130</v>
      </c>
      <c r="AK110" s="66">
        <f t="shared" si="63"/>
        <v>576</v>
      </c>
      <c r="AL110" s="37">
        <v>3</v>
      </c>
      <c r="AM110" s="37">
        <v>50</v>
      </c>
      <c r="AN110" s="37">
        <v>81</v>
      </c>
      <c r="AO110" s="70">
        <f t="shared" si="40"/>
        <v>38940000</v>
      </c>
      <c r="AP110" s="39" t="s">
        <v>125</v>
      </c>
      <c r="AQ110" s="38" t="s">
        <v>109</v>
      </c>
      <c r="AR110" s="38" t="s">
        <v>83</v>
      </c>
      <c r="AS110" s="38" t="s">
        <v>83</v>
      </c>
      <c r="AT110" s="38" t="s">
        <v>83</v>
      </c>
      <c r="AU110" s="38" t="s">
        <v>111</v>
      </c>
      <c r="AV110" s="40"/>
      <c r="AW110" s="38"/>
      <c r="AX110" s="40"/>
      <c r="AY110" s="41" t="str">
        <f t="shared" si="64"/>
        <v>70-80</v>
      </c>
      <c r="AZ110" s="75"/>
      <c r="BA110" s="143"/>
      <c r="BB110" s="143"/>
      <c r="BC110" s="144"/>
      <c r="BD110" s="145"/>
      <c r="BE110" s="36"/>
      <c r="BF110" s="36"/>
      <c r="BG110" s="36"/>
      <c r="BH110" s="36"/>
      <c r="BI110" s="36"/>
      <c r="BJ110" s="36"/>
    </row>
    <row r="111" spans="1:62" s="49" customFormat="1">
      <c r="A111" s="39" t="s">
        <v>186</v>
      </c>
      <c r="B111" s="39" t="s">
        <v>53</v>
      </c>
      <c r="C111" s="39" t="s">
        <v>92</v>
      </c>
      <c r="D111" s="39">
        <f t="shared" si="49"/>
        <v>909600</v>
      </c>
      <c r="E111" s="64">
        <f t="shared" si="50"/>
        <v>849600</v>
      </c>
      <c r="F111" s="179">
        <f t="shared" si="39"/>
        <v>0.58851224105461397</v>
      </c>
      <c r="G111" s="39">
        <v>500000</v>
      </c>
      <c r="H111" s="39">
        <f t="shared" si="57"/>
        <v>50000</v>
      </c>
      <c r="I111" s="57">
        <f t="shared" si="61"/>
        <v>256400</v>
      </c>
      <c r="J111" s="57"/>
      <c r="K111" s="39">
        <f>150000*1.08</f>
        <v>162000</v>
      </c>
      <c r="L111" s="39">
        <f>40000*1.08</f>
        <v>43200</v>
      </c>
      <c r="M111" s="39"/>
      <c r="N111" s="39">
        <v>15000</v>
      </c>
      <c r="O111" s="39">
        <v>20000</v>
      </c>
      <c r="P111" s="39"/>
      <c r="Q111" s="39"/>
      <c r="R111" s="39">
        <f t="shared" si="58"/>
        <v>16200.000000000002</v>
      </c>
      <c r="S111" s="65">
        <f t="shared" si="62"/>
        <v>43200</v>
      </c>
      <c r="T111" s="68"/>
      <c r="U111" s="68"/>
      <c r="V111" s="39">
        <v>21600</v>
      </c>
      <c r="W111" s="39">
        <v>10800</v>
      </c>
      <c r="X111" s="39">
        <v>10800</v>
      </c>
      <c r="Y111" s="39"/>
      <c r="Z111" s="59">
        <f t="shared" si="53"/>
        <v>30000</v>
      </c>
      <c r="AA111" s="60">
        <v>30000</v>
      </c>
      <c r="AB111" s="60">
        <v>20000</v>
      </c>
      <c r="AC111" s="60"/>
      <c r="AD111" s="59">
        <f t="shared" si="59"/>
        <v>0</v>
      </c>
      <c r="AE111" s="60"/>
      <c r="AF111" s="59">
        <f t="shared" si="55"/>
        <v>30000</v>
      </c>
      <c r="AG111" s="60">
        <v>30000</v>
      </c>
      <c r="AH111" s="59">
        <f t="shared" si="60"/>
        <v>0</v>
      </c>
      <c r="AI111" s="59"/>
      <c r="AJ111" s="59" t="s">
        <v>130</v>
      </c>
      <c r="AK111" s="66">
        <f t="shared" si="63"/>
        <v>576</v>
      </c>
      <c r="AL111" s="37">
        <v>3</v>
      </c>
      <c r="AM111" s="37">
        <v>50</v>
      </c>
      <c r="AN111" s="37">
        <v>81</v>
      </c>
      <c r="AO111" s="70">
        <f t="shared" si="40"/>
        <v>38940000</v>
      </c>
      <c r="AP111" s="39" t="s">
        <v>102</v>
      </c>
      <c r="AQ111" s="38" t="s">
        <v>109</v>
      </c>
      <c r="AR111" s="38" t="s">
        <v>83</v>
      </c>
      <c r="AS111" s="38" t="s">
        <v>83</v>
      </c>
      <c r="AT111" s="38" t="s">
        <v>83</v>
      </c>
      <c r="AU111" s="38" t="s">
        <v>111</v>
      </c>
      <c r="AV111" s="40"/>
      <c r="AW111" s="38"/>
      <c r="AX111" s="40"/>
      <c r="AY111" s="41" t="str">
        <f t="shared" si="64"/>
        <v>70-80</v>
      </c>
      <c r="AZ111" s="75"/>
      <c r="BA111" s="143"/>
      <c r="BB111" s="143"/>
      <c r="BC111" s="144"/>
      <c r="BD111" s="145"/>
      <c r="BE111" s="36"/>
      <c r="BF111" s="36"/>
      <c r="BG111" s="36"/>
      <c r="BH111" s="36"/>
      <c r="BI111" s="36"/>
      <c r="BJ111" s="36"/>
    </row>
    <row r="112" spans="1:62" s="49" customFormat="1" ht="90">
      <c r="A112" s="39" t="s">
        <v>186</v>
      </c>
      <c r="B112" s="39" t="s">
        <v>53</v>
      </c>
      <c r="C112" s="39" t="s">
        <v>92</v>
      </c>
      <c r="D112" s="39">
        <f t="shared" si="49"/>
        <v>908200</v>
      </c>
      <c r="E112" s="64">
        <f t="shared" si="50"/>
        <v>848200</v>
      </c>
      <c r="F112" s="179">
        <f t="shared" si="39"/>
        <v>0.53053525112001887</v>
      </c>
      <c r="G112" s="39">
        <v>450000</v>
      </c>
      <c r="H112" s="39">
        <f t="shared" si="57"/>
        <v>50000</v>
      </c>
      <c r="I112" s="57">
        <f t="shared" si="61"/>
        <v>315800</v>
      </c>
      <c r="J112" s="57"/>
      <c r="K112" s="39">
        <f>1.08*200000</f>
        <v>216000</v>
      </c>
      <c r="L112" s="39">
        <f>1.08*50000</f>
        <v>54000</v>
      </c>
      <c r="M112" s="39"/>
      <c r="N112" s="39">
        <v>15000</v>
      </c>
      <c r="O112" s="39">
        <v>20000</v>
      </c>
      <c r="P112" s="39"/>
      <c r="Q112" s="39"/>
      <c r="R112" s="39">
        <f t="shared" si="58"/>
        <v>10800</v>
      </c>
      <c r="S112" s="65">
        <f>SUM(T112:W112)</f>
        <v>32400</v>
      </c>
      <c r="T112" s="68"/>
      <c r="U112" s="68"/>
      <c r="V112" s="39">
        <v>21600</v>
      </c>
      <c r="W112" s="39">
        <v>10800</v>
      </c>
      <c r="X112" s="39"/>
      <c r="Y112" s="39"/>
      <c r="Z112" s="59">
        <f t="shared" si="53"/>
        <v>30000</v>
      </c>
      <c r="AA112" s="60">
        <v>30000</v>
      </c>
      <c r="AB112" s="60">
        <v>20000</v>
      </c>
      <c r="AC112" s="60"/>
      <c r="AD112" s="59">
        <f t="shared" si="59"/>
        <v>0</v>
      </c>
      <c r="AE112" s="60"/>
      <c r="AF112" s="59">
        <f t="shared" si="55"/>
        <v>30000</v>
      </c>
      <c r="AG112" s="60">
        <v>30000</v>
      </c>
      <c r="AH112" s="59">
        <f t="shared" si="60"/>
        <v>0</v>
      </c>
      <c r="AI112" s="59"/>
      <c r="AJ112" s="59" t="s">
        <v>130</v>
      </c>
      <c r="AK112" s="66">
        <f t="shared" si="63"/>
        <v>576</v>
      </c>
      <c r="AL112" s="37">
        <v>2</v>
      </c>
      <c r="AM112" s="37">
        <v>50</v>
      </c>
      <c r="AN112" s="38" t="s">
        <v>122</v>
      </c>
      <c r="AO112" s="70">
        <f t="shared" si="40"/>
        <v>38875833.333333336</v>
      </c>
      <c r="AP112" s="39" t="s">
        <v>104</v>
      </c>
      <c r="AQ112" s="38" t="s">
        <v>109</v>
      </c>
      <c r="AR112" s="38" t="s">
        <v>83</v>
      </c>
      <c r="AS112" s="38" t="s">
        <v>83</v>
      </c>
      <c r="AT112" s="38" t="s">
        <v>83</v>
      </c>
      <c r="AU112" s="38" t="s">
        <v>111</v>
      </c>
      <c r="AV112" s="40">
        <v>24</v>
      </c>
      <c r="AW112" s="38">
        <v>20</v>
      </c>
      <c r="AX112" s="40">
        <f>E112*AW112</f>
        <v>16964000</v>
      </c>
      <c r="AY112" s="41" t="str">
        <f t="shared" si="64"/>
        <v>70-80</v>
      </c>
      <c r="AZ112" s="75" t="s">
        <v>139</v>
      </c>
      <c r="BA112" s="137"/>
      <c r="BB112" s="139"/>
      <c r="BC112" s="144"/>
      <c r="BD112" s="145"/>
      <c r="BE112" s="36"/>
      <c r="BF112" s="36"/>
      <c r="BG112" s="36"/>
      <c r="BH112" s="36"/>
      <c r="BI112" s="36"/>
      <c r="BJ112" s="36"/>
    </row>
    <row r="113" spans="1:62" s="49" customFormat="1">
      <c r="A113" s="39" t="s">
        <v>186</v>
      </c>
      <c r="B113" s="39" t="s">
        <v>53</v>
      </c>
      <c r="C113" s="39" t="s">
        <v>92</v>
      </c>
      <c r="D113" s="39">
        <f t="shared" si="49"/>
        <v>908200</v>
      </c>
      <c r="E113" s="64">
        <f t="shared" si="50"/>
        <v>848200</v>
      </c>
      <c r="F113" s="179">
        <f t="shared" si="39"/>
        <v>0.53053525112001887</v>
      </c>
      <c r="G113" s="39">
        <v>450000</v>
      </c>
      <c r="H113" s="39">
        <f t="shared" si="57"/>
        <v>50000</v>
      </c>
      <c r="I113" s="57">
        <f t="shared" si="61"/>
        <v>315800</v>
      </c>
      <c r="J113" s="57"/>
      <c r="K113" s="39">
        <f>1.08*200000</f>
        <v>216000</v>
      </c>
      <c r="L113" s="39">
        <f>1.08*50000</f>
        <v>54000</v>
      </c>
      <c r="M113" s="39"/>
      <c r="N113" s="39">
        <v>15000</v>
      </c>
      <c r="O113" s="39">
        <v>20000</v>
      </c>
      <c r="P113" s="39"/>
      <c r="Q113" s="39"/>
      <c r="R113" s="39">
        <f t="shared" si="58"/>
        <v>10800</v>
      </c>
      <c r="S113" s="65">
        <f t="shared" ref="S113:S155" si="65">SUM(T113:Y113)</f>
        <v>32400</v>
      </c>
      <c r="T113" s="68"/>
      <c r="U113" s="68"/>
      <c r="V113" s="39">
        <v>21600</v>
      </c>
      <c r="W113" s="39">
        <v>10800</v>
      </c>
      <c r="X113" s="39"/>
      <c r="Y113" s="39"/>
      <c r="Z113" s="59">
        <f t="shared" si="53"/>
        <v>30000</v>
      </c>
      <c r="AA113" s="60">
        <v>30000</v>
      </c>
      <c r="AB113" s="60">
        <v>20000</v>
      </c>
      <c r="AC113" s="60"/>
      <c r="AD113" s="59">
        <f t="shared" si="59"/>
        <v>0</v>
      </c>
      <c r="AE113" s="60"/>
      <c r="AF113" s="59">
        <f t="shared" si="55"/>
        <v>30000</v>
      </c>
      <c r="AG113" s="60">
        <v>30000</v>
      </c>
      <c r="AH113" s="59">
        <f t="shared" si="60"/>
        <v>0</v>
      </c>
      <c r="AI113" s="59"/>
      <c r="AJ113" s="59" t="s">
        <v>130</v>
      </c>
      <c r="AK113" s="66">
        <f t="shared" si="63"/>
        <v>576</v>
      </c>
      <c r="AL113" s="37">
        <v>2</v>
      </c>
      <c r="AM113" s="37">
        <v>50</v>
      </c>
      <c r="AN113" s="38" t="s">
        <v>122</v>
      </c>
      <c r="AO113" s="70">
        <f t="shared" si="40"/>
        <v>38875833.333333336</v>
      </c>
      <c r="AP113" s="39" t="s">
        <v>123</v>
      </c>
      <c r="AQ113" s="38" t="s">
        <v>109</v>
      </c>
      <c r="AR113" s="38" t="s">
        <v>83</v>
      </c>
      <c r="AS113" s="38" t="s">
        <v>83</v>
      </c>
      <c r="AT113" s="38" t="s">
        <v>83</v>
      </c>
      <c r="AU113" s="38" t="s">
        <v>111</v>
      </c>
      <c r="AV113" s="40"/>
      <c r="AW113" s="38"/>
      <c r="AX113" s="40"/>
      <c r="AY113" s="41" t="str">
        <f t="shared" si="64"/>
        <v>70-80</v>
      </c>
      <c r="AZ113" s="75"/>
      <c r="BA113" s="137"/>
      <c r="BB113" s="139"/>
      <c r="BC113" s="144"/>
      <c r="BD113" s="145"/>
      <c r="BE113" s="36"/>
      <c r="BF113" s="36"/>
      <c r="BG113" s="36"/>
      <c r="BH113" s="36"/>
      <c r="BI113" s="36"/>
      <c r="BJ113" s="36"/>
    </row>
    <row r="114" spans="1:62" s="49" customFormat="1">
      <c r="A114" s="39" t="s">
        <v>186</v>
      </c>
      <c r="B114" s="39" t="s">
        <v>53</v>
      </c>
      <c r="C114" s="39" t="s">
        <v>92</v>
      </c>
      <c r="D114" s="39">
        <f t="shared" si="49"/>
        <v>908200</v>
      </c>
      <c r="E114" s="64">
        <f t="shared" si="50"/>
        <v>848200</v>
      </c>
      <c r="F114" s="179">
        <f t="shared" si="39"/>
        <v>0.53053525112001887</v>
      </c>
      <c r="G114" s="39">
        <v>450000</v>
      </c>
      <c r="H114" s="39">
        <f t="shared" si="57"/>
        <v>50000</v>
      </c>
      <c r="I114" s="57">
        <f t="shared" si="61"/>
        <v>315800</v>
      </c>
      <c r="J114" s="57"/>
      <c r="K114" s="39">
        <f>1.08*200000</f>
        <v>216000</v>
      </c>
      <c r="L114" s="39">
        <f>1.08*50000</f>
        <v>54000</v>
      </c>
      <c r="M114" s="39"/>
      <c r="N114" s="39">
        <v>15000</v>
      </c>
      <c r="O114" s="39">
        <v>20000</v>
      </c>
      <c r="P114" s="39"/>
      <c r="Q114" s="39"/>
      <c r="R114" s="39">
        <f t="shared" si="58"/>
        <v>10800</v>
      </c>
      <c r="S114" s="65">
        <f t="shared" si="65"/>
        <v>32400</v>
      </c>
      <c r="T114" s="68"/>
      <c r="U114" s="68"/>
      <c r="V114" s="39">
        <v>21600</v>
      </c>
      <c r="W114" s="39">
        <v>10800</v>
      </c>
      <c r="X114" s="39"/>
      <c r="Y114" s="39"/>
      <c r="Z114" s="59">
        <f t="shared" si="53"/>
        <v>30000</v>
      </c>
      <c r="AA114" s="60">
        <v>30000</v>
      </c>
      <c r="AB114" s="60">
        <v>20000</v>
      </c>
      <c r="AC114" s="60"/>
      <c r="AD114" s="59">
        <f t="shared" si="59"/>
        <v>0</v>
      </c>
      <c r="AE114" s="60"/>
      <c r="AF114" s="59">
        <f t="shared" si="55"/>
        <v>30000</v>
      </c>
      <c r="AG114" s="60">
        <v>30000</v>
      </c>
      <c r="AH114" s="59">
        <f t="shared" si="60"/>
        <v>0</v>
      </c>
      <c r="AI114" s="59"/>
      <c r="AJ114" s="59" t="s">
        <v>130</v>
      </c>
      <c r="AK114" s="66">
        <f t="shared" si="63"/>
        <v>576</v>
      </c>
      <c r="AL114" s="37">
        <v>2</v>
      </c>
      <c r="AM114" s="37">
        <v>50</v>
      </c>
      <c r="AN114" s="38" t="s">
        <v>121</v>
      </c>
      <c r="AO114" s="70">
        <f t="shared" si="40"/>
        <v>38875833.333333336</v>
      </c>
      <c r="AP114" s="39" t="s">
        <v>105</v>
      </c>
      <c r="AQ114" s="38" t="s">
        <v>109</v>
      </c>
      <c r="AR114" s="38" t="s">
        <v>83</v>
      </c>
      <c r="AS114" s="38" t="s">
        <v>83</v>
      </c>
      <c r="AT114" s="38" t="s">
        <v>83</v>
      </c>
      <c r="AU114" s="38" t="s">
        <v>111</v>
      </c>
      <c r="AV114" s="40"/>
      <c r="AW114" s="38"/>
      <c r="AX114" s="40"/>
      <c r="AY114" s="41" t="str">
        <f t="shared" si="64"/>
        <v>70-80</v>
      </c>
      <c r="AZ114" s="75"/>
      <c r="BA114" s="137"/>
      <c r="BB114" s="139"/>
      <c r="BC114" s="144"/>
      <c r="BD114" s="145"/>
      <c r="BE114" s="36"/>
      <c r="BF114" s="36"/>
      <c r="BG114" s="36"/>
      <c r="BH114" s="36"/>
      <c r="BI114" s="36"/>
      <c r="BJ114" s="36"/>
    </row>
    <row r="115" spans="1:62" s="49" customFormat="1">
      <c r="A115" s="39" t="s">
        <v>186</v>
      </c>
      <c r="B115" s="39" t="s">
        <v>53</v>
      </c>
      <c r="C115" s="39" t="s">
        <v>92</v>
      </c>
      <c r="D115" s="39">
        <f t="shared" si="49"/>
        <v>905600</v>
      </c>
      <c r="E115" s="64">
        <f t="shared" si="50"/>
        <v>845600</v>
      </c>
      <c r="F115" s="179">
        <f t="shared" si="39"/>
        <v>0.65042573320719022</v>
      </c>
      <c r="G115" s="45">
        <v>550000</v>
      </c>
      <c r="H115" s="39">
        <f t="shared" si="57"/>
        <v>50000</v>
      </c>
      <c r="I115" s="57">
        <f t="shared" si="61"/>
        <v>202400</v>
      </c>
      <c r="J115" s="57"/>
      <c r="K115" s="39">
        <f>70000*1.08</f>
        <v>75600</v>
      </c>
      <c r="L115" s="39">
        <f>20000*1.08</f>
        <v>21600</v>
      </c>
      <c r="M115" s="39">
        <f>50000*1.08</f>
        <v>54000</v>
      </c>
      <c r="N115" s="39">
        <v>15000</v>
      </c>
      <c r="O115" s="39">
        <v>20000</v>
      </c>
      <c r="P115" s="39"/>
      <c r="Q115" s="39"/>
      <c r="R115" s="39">
        <f t="shared" si="58"/>
        <v>16200.000000000002</v>
      </c>
      <c r="S115" s="65">
        <f t="shared" si="65"/>
        <v>43200</v>
      </c>
      <c r="T115" s="68"/>
      <c r="U115" s="68"/>
      <c r="V115" s="39">
        <v>21600</v>
      </c>
      <c r="W115" s="39">
        <v>10800</v>
      </c>
      <c r="X115" s="39">
        <v>10800</v>
      </c>
      <c r="Y115" s="39"/>
      <c r="Z115" s="59">
        <f t="shared" si="53"/>
        <v>30000</v>
      </c>
      <c r="AA115" s="60">
        <v>30000</v>
      </c>
      <c r="AB115" s="60">
        <v>20000</v>
      </c>
      <c r="AC115" s="60"/>
      <c r="AD115" s="59">
        <f t="shared" si="59"/>
        <v>0</v>
      </c>
      <c r="AE115" s="60"/>
      <c r="AF115" s="59">
        <f t="shared" si="55"/>
        <v>30000</v>
      </c>
      <c r="AG115" s="60">
        <v>30000</v>
      </c>
      <c r="AH115" s="59">
        <f t="shared" si="60"/>
        <v>0</v>
      </c>
      <c r="AI115" s="59"/>
      <c r="AJ115" s="59" t="s">
        <v>130</v>
      </c>
      <c r="AK115" s="66">
        <f t="shared" si="63"/>
        <v>576</v>
      </c>
      <c r="AL115" s="37">
        <v>3</v>
      </c>
      <c r="AM115" s="37">
        <v>50</v>
      </c>
      <c r="AN115" s="37">
        <v>81</v>
      </c>
      <c r="AO115" s="70">
        <f t="shared" si="40"/>
        <v>38756666.666666664</v>
      </c>
      <c r="AP115" s="39" t="s">
        <v>60</v>
      </c>
      <c r="AQ115" s="38" t="s">
        <v>109</v>
      </c>
      <c r="AR115" s="38" t="s">
        <v>83</v>
      </c>
      <c r="AS115" s="38" t="s">
        <v>83</v>
      </c>
      <c r="AT115" s="38" t="s">
        <v>83</v>
      </c>
      <c r="AU115" s="38" t="s">
        <v>111</v>
      </c>
      <c r="AV115" s="46"/>
      <c r="AW115" s="46"/>
      <c r="AX115" s="40"/>
      <c r="AY115" s="41" t="str">
        <f t="shared" si="64"/>
        <v>70-80</v>
      </c>
      <c r="AZ115" s="76"/>
      <c r="BA115" s="144"/>
      <c r="BB115" s="144"/>
      <c r="BC115" s="143"/>
      <c r="BD115" s="154"/>
    </row>
    <row r="116" spans="1:62" s="49" customFormat="1">
      <c r="A116" s="39" t="s">
        <v>186</v>
      </c>
      <c r="B116" s="39" t="s">
        <v>53</v>
      </c>
      <c r="C116" s="39" t="s">
        <v>92</v>
      </c>
      <c r="D116" s="39">
        <f t="shared" si="49"/>
        <v>894800</v>
      </c>
      <c r="E116" s="64">
        <f t="shared" si="50"/>
        <v>834800</v>
      </c>
      <c r="F116" s="179">
        <f t="shared" si="39"/>
        <v>0.6588404408241495</v>
      </c>
      <c r="G116" s="45">
        <v>550000</v>
      </c>
      <c r="H116" s="39">
        <f t="shared" si="57"/>
        <v>50000</v>
      </c>
      <c r="I116" s="57">
        <f t="shared" si="61"/>
        <v>191600</v>
      </c>
      <c r="J116" s="57"/>
      <c r="K116" s="39">
        <f>100000*1.08</f>
        <v>108000</v>
      </c>
      <c r="L116" s="39">
        <f>30000*1.08</f>
        <v>32400.000000000004</v>
      </c>
      <c r="M116" s="39"/>
      <c r="N116" s="39">
        <v>15000</v>
      </c>
      <c r="O116" s="39">
        <v>20000</v>
      </c>
      <c r="P116" s="39"/>
      <c r="Q116" s="39"/>
      <c r="R116" s="39">
        <f t="shared" si="58"/>
        <v>16200.000000000002</v>
      </c>
      <c r="S116" s="65">
        <f t="shared" si="65"/>
        <v>43200</v>
      </c>
      <c r="T116" s="68"/>
      <c r="U116" s="68"/>
      <c r="V116" s="39">
        <v>21600</v>
      </c>
      <c r="W116" s="39">
        <v>10800</v>
      </c>
      <c r="X116" s="39">
        <v>10800</v>
      </c>
      <c r="Y116" s="39"/>
      <c r="Z116" s="59">
        <f t="shared" si="53"/>
        <v>30000</v>
      </c>
      <c r="AA116" s="60">
        <v>30000</v>
      </c>
      <c r="AB116" s="60">
        <v>20000</v>
      </c>
      <c r="AC116" s="60"/>
      <c r="AD116" s="59">
        <f t="shared" si="59"/>
        <v>0</v>
      </c>
      <c r="AE116" s="60"/>
      <c r="AF116" s="59">
        <f t="shared" si="55"/>
        <v>30000</v>
      </c>
      <c r="AG116" s="60">
        <v>30000</v>
      </c>
      <c r="AH116" s="59">
        <f t="shared" si="60"/>
        <v>0</v>
      </c>
      <c r="AI116" s="59"/>
      <c r="AJ116" s="59" t="s">
        <v>130</v>
      </c>
      <c r="AK116" s="66">
        <f t="shared" si="63"/>
        <v>576</v>
      </c>
      <c r="AL116" s="37">
        <v>3</v>
      </c>
      <c r="AM116" s="37">
        <v>50</v>
      </c>
      <c r="AN116" s="37">
        <v>81</v>
      </c>
      <c r="AO116" s="70">
        <f t="shared" si="40"/>
        <v>38261666.666666664</v>
      </c>
      <c r="AP116" s="39" t="s">
        <v>67</v>
      </c>
      <c r="AQ116" s="38" t="s">
        <v>109</v>
      </c>
      <c r="AR116" s="38" t="s">
        <v>83</v>
      </c>
      <c r="AS116" s="38" t="s">
        <v>83</v>
      </c>
      <c r="AT116" s="38" t="s">
        <v>83</v>
      </c>
      <c r="AU116" s="38" t="s">
        <v>111</v>
      </c>
      <c r="AV116" s="46"/>
      <c r="AW116" s="46"/>
      <c r="AX116" s="40"/>
      <c r="AY116" s="41" t="str">
        <f t="shared" si="64"/>
        <v>70-80</v>
      </c>
      <c r="AZ116" s="76"/>
      <c r="BA116" s="144"/>
      <c r="BB116" s="144"/>
      <c r="BC116" s="143"/>
      <c r="BD116" s="154"/>
    </row>
    <row r="117" spans="1:62" s="49" customFormat="1">
      <c r="A117" s="39" t="s">
        <v>186</v>
      </c>
      <c r="B117" s="39" t="s">
        <v>53</v>
      </c>
      <c r="C117" s="39" t="s">
        <v>92</v>
      </c>
      <c r="D117" s="39">
        <f t="shared" si="49"/>
        <v>855600</v>
      </c>
      <c r="E117" s="64">
        <f t="shared" si="50"/>
        <v>795600</v>
      </c>
      <c r="F117" s="179">
        <f t="shared" si="39"/>
        <v>0.62845651080945197</v>
      </c>
      <c r="G117" s="39">
        <v>500000</v>
      </c>
      <c r="H117" s="39">
        <f t="shared" si="57"/>
        <v>50000</v>
      </c>
      <c r="I117" s="57">
        <f t="shared" si="61"/>
        <v>202400</v>
      </c>
      <c r="J117" s="57"/>
      <c r="K117" s="39">
        <f>70000*1.08</f>
        <v>75600</v>
      </c>
      <c r="L117" s="39">
        <f>20000*1.08</f>
        <v>21600</v>
      </c>
      <c r="M117" s="39">
        <f>50000*1.08</f>
        <v>54000</v>
      </c>
      <c r="N117" s="39">
        <v>15000</v>
      </c>
      <c r="O117" s="39">
        <v>20000</v>
      </c>
      <c r="P117" s="39"/>
      <c r="Q117" s="39"/>
      <c r="R117" s="39">
        <f t="shared" si="58"/>
        <v>16200.000000000002</v>
      </c>
      <c r="S117" s="65">
        <f t="shared" si="65"/>
        <v>43200</v>
      </c>
      <c r="T117" s="68"/>
      <c r="U117" s="68"/>
      <c r="V117" s="39">
        <v>21600</v>
      </c>
      <c r="W117" s="39">
        <v>10800</v>
      </c>
      <c r="X117" s="39">
        <v>10800</v>
      </c>
      <c r="Y117" s="39"/>
      <c r="Z117" s="59">
        <f t="shared" si="53"/>
        <v>30000</v>
      </c>
      <c r="AA117" s="60">
        <v>30000</v>
      </c>
      <c r="AB117" s="60">
        <v>20000</v>
      </c>
      <c r="AC117" s="60"/>
      <c r="AD117" s="59">
        <f t="shared" si="59"/>
        <v>0</v>
      </c>
      <c r="AE117" s="60"/>
      <c r="AF117" s="59">
        <f t="shared" si="55"/>
        <v>30000</v>
      </c>
      <c r="AG117" s="60">
        <v>30000</v>
      </c>
      <c r="AH117" s="59">
        <f t="shared" si="60"/>
        <v>0</v>
      </c>
      <c r="AI117" s="59"/>
      <c r="AJ117" s="59" t="s">
        <v>130</v>
      </c>
      <c r="AK117" s="66">
        <f t="shared" si="63"/>
        <v>576</v>
      </c>
      <c r="AL117" s="37">
        <v>3</v>
      </c>
      <c r="AM117" s="37">
        <v>50</v>
      </c>
      <c r="AN117" s="37">
        <v>81</v>
      </c>
      <c r="AO117" s="70">
        <f t="shared" si="40"/>
        <v>36465000</v>
      </c>
      <c r="AP117" s="39" t="s">
        <v>60</v>
      </c>
      <c r="AQ117" s="38" t="s">
        <v>109</v>
      </c>
      <c r="AR117" s="38" t="s">
        <v>83</v>
      </c>
      <c r="AS117" s="38" t="s">
        <v>83</v>
      </c>
      <c r="AT117" s="38" t="s">
        <v>83</v>
      </c>
      <c r="AU117" s="38" t="s">
        <v>111</v>
      </c>
      <c r="AV117" s="46"/>
      <c r="AW117" s="46"/>
      <c r="AX117" s="40"/>
      <c r="AY117" s="41" t="str">
        <f t="shared" si="64"/>
        <v>70-80</v>
      </c>
      <c r="AZ117" s="76"/>
      <c r="BA117" s="144"/>
      <c r="BB117" s="144"/>
      <c r="BC117" s="144"/>
      <c r="BD117" s="145"/>
    </row>
    <row r="118" spans="1:62" s="49" customFormat="1">
      <c r="A118" s="39" t="s">
        <v>186</v>
      </c>
      <c r="B118" s="39" t="s">
        <v>53</v>
      </c>
      <c r="C118" s="39" t="s">
        <v>92</v>
      </c>
      <c r="D118" s="39">
        <f t="shared" si="49"/>
        <v>844800</v>
      </c>
      <c r="E118" s="64">
        <f t="shared" si="50"/>
        <v>784800</v>
      </c>
      <c r="F118" s="179">
        <f t="shared" si="39"/>
        <v>0.63710499490316008</v>
      </c>
      <c r="G118" s="39">
        <v>500000</v>
      </c>
      <c r="H118" s="39">
        <f t="shared" si="57"/>
        <v>50000</v>
      </c>
      <c r="I118" s="57">
        <f t="shared" si="61"/>
        <v>191600</v>
      </c>
      <c r="J118" s="57"/>
      <c r="K118" s="39">
        <f>100000*1.08</f>
        <v>108000</v>
      </c>
      <c r="L118" s="39">
        <f>30000*1.08</f>
        <v>32400.000000000004</v>
      </c>
      <c r="M118" s="39"/>
      <c r="N118" s="39">
        <v>15000</v>
      </c>
      <c r="O118" s="39">
        <v>20000</v>
      </c>
      <c r="P118" s="39"/>
      <c r="Q118" s="39"/>
      <c r="R118" s="39">
        <f t="shared" si="58"/>
        <v>16200.000000000002</v>
      </c>
      <c r="S118" s="65">
        <f t="shared" si="65"/>
        <v>43200</v>
      </c>
      <c r="T118" s="68"/>
      <c r="U118" s="68"/>
      <c r="V118" s="39">
        <v>21600</v>
      </c>
      <c r="W118" s="39">
        <v>10800</v>
      </c>
      <c r="X118" s="39">
        <v>10800</v>
      </c>
      <c r="Y118" s="39"/>
      <c r="Z118" s="59">
        <f t="shared" si="53"/>
        <v>30000</v>
      </c>
      <c r="AA118" s="60">
        <v>30000</v>
      </c>
      <c r="AB118" s="60">
        <v>20000</v>
      </c>
      <c r="AC118" s="60"/>
      <c r="AD118" s="59">
        <f t="shared" si="59"/>
        <v>0</v>
      </c>
      <c r="AE118" s="60"/>
      <c r="AF118" s="59">
        <f t="shared" si="55"/>
        <v>30000</v>
      </c>
      <c r="AG118" s="60">
        <v>30000</v>
      </c>
      <c r="AH118" s="59">
        <f t="shared" si="60"/>
        <v>0</v>
      </c>
      <c r="AI118" s="59"/>
      <c r="AJ118" s="59" t="s">
        <v>130</v>
      </c>
      <c r="AK118" s="66">
        <f t="shared" si="63"/>
        <v>576</v>
      </c>
      <c r="AL118" s="37">
        <v>3</v>
      </c>
      <c r="AM118" s="37">
        <v>50</v>
      </c>
      <c r="AN118" s="37">
        <v>81</v>
      </c>
      <c r="AO118" s="70">
        <f t="shared" si="40"/>
        <v>35970000</v>
      </c>
      <c r="AP118" s="39" t="s">
        <v>67</v>
      </c>
      <c r="AQ118" s="38" t="s">
        <v>109</v>
      </c>
      <c r="AR118" s="38" t="s">
        <v>83</v>
      </c>
      <c r="AS118" s="38" t="s">
        <v>83</v>
      </c>
      <c r="AT118" s="38" t="s">
        <v>83</v>
      </c>
      <c r="AU118" s="38" t="s">
        <v>111</v>
      </c>
      <c r="AV118" s="40"/>
      <c r="AW118" s="38"/>
      <c r="AX118" s="40"/>
      <c r="AY118" s="41" t="str">
        <f t="shared" si="64"/>
        <v>70-80</v>
      </c>
      <c r="AZ118" s="75"/>
      <c r="BA118" s="143"/>
      <c r="BB118" s="143"/>
      <c r="BC118" s="144"/>
      <c r="BD118" s="145"/>
      <c r="BE118" s="142"/>
      <c r="BF118" s="142"/>
      <c r="BG118" s="142"/>
      <c r="BH118" s="142"/>
      <c r="BI118" s="142"/>
      <c r="BJ118" s="142"/>
    </row>
    <row r="119" spans="1:62" s="49" customFormat="1">
      <c r="A119" s="39" t="s">
        <v>186</v>
      </c>
      <c r="B119" s="39" t="s">
        <v>53</v>
      </c>
      <c r="C119" s="39" t="s">
        <v>92</v>
      </c>
      <c r="D119" s="39">
        <f t="shared" si="49"/>
        <v>843400</v>
      </c>
      <c r="E119" s="64">
        <f t="shared" si="50"/>
        <v>783400</v>
      </c>
      <c r="F119" s="179">
        <f t="shared" si="39"/>
        <v>0.57441919836609645</v>
      </c>
      <c r="G119" s="39">
        <v>450000</v>
      </c>
      <c r="H119" s="39">
        <f t="shared" si="57"/>
        <v>50000</v>
      </c>
      <c r="I119" s="57">
        <f t="shared" si="61"/>
        <v>251000</v>
      </c>
      <c r="J119" s="57"/>
      <c r="K119" s="39">
        <f>150000*1.08</f>
        <v>162000</v>
      </c>
      <c r="L119" s="39">
        <f>40000*1.08</f>
        <v>43200</v>
      </c>
      <c r="M119" s="39"/>
      <c r="N119" s="39">
        <v>15000</v>
      </c>
      <c r="O119" s="39">
        <v>20000</v>
      </c>
      <c r="P119" s="39"/>
      <c r="Q119" s="39"/>
      <c r="R119" s="39">
        <f t="shared" si="58"/>
        <v>10800</v>
      </c>
      <c r="S119" s="65">
        <f t="shared" si="65"/>
        <v>32400</v>
      </c>
      <c r="T119" s="68"/>
      <c r="U119" s="68"/>
      <c r="V119" s="39">
        <v>21600</v>
      </c>
      <c r="W119" s="39">
        <v>10800</v>
      </c>
      <c r="X119" s="39"/>
      <c r="Y119" s="39"/>
      <c r="Z119" s="59">
        <f t="shared" si="53"/>
        <v>30000</v>
      </c>
      <c r="AA119" s="60">
        <v>30000</v>
      </c>
      <c r="AB119" s="60">
        <v>20000</v>
      </c>
      <c r="AC119" s="60"/>
      <c r="AD119" s="59">
        <f t="shared" si="59"/>
        <v>0</v>
      </c>
      <c r="AE119" s="60"/>
      <c r="AF119" s="59">
        <f t="shared" si="55"/>
        <v>30000</v>
      </c>
      <c r="AG119" s="60">
        <v>30000</v>
      </c>
      <c r="AH119" s="59">
        <f t="shared" si="60"/>
        <v>0</v>
      </c>
      <c r="AI119" s="59"/>
      <c r="AJ119" s="59" t="s">
        <v>130</v>
      </c>
      <c r="AK119" s="66">
        <f t="shared" si="63"/>
        <v>576</v>
      </c>
      <c r="AL119" s="37">
        <v>2</v>
      </c>
      <c r="AM119" s="37">
        <v>50</v>
      </c>
      <c r="AN119" s="38" t="s">
        <v>121</v>
      </c>
      <c r="AO119" s="70">
        <f t="shared" si="40"/>
        <v>35905833.333333336</v>
      </c>
      <c r="AP119" s="39" t="s">
        <v>124</v>
      </c>
      <c r="AQ119" s="38" t="s">
        <v>109</v>
      </c>
      <c r="AR119" s="38" t="s">
        <v>83</v>
      </c>
      <c r="AS119" s="38" t="s">
        <v>83</v>
      </c>
      <c r="AT119" s="38" t="s">
        <v>83</v>
      </c>
      <c r="AU119" s="38" t="s">
        <v>111</v>
      </c>
      <c r="AV119" s="40"/>
      <c r="AW119" s="38"/>
      <c r="AX119" s="40"/>
      <c r="AY119" s="41" t="str">
        <f t="shared" si="64"/>
        <v>70-80</v>
      </c>
      <c r="AZ119" s="75"/>
      <c r="BA119" s="143"/>
      <c r="BB119" s="143"/>
      <c r="BC119" s="144"/>
      <c r="BD119" s="145"/>
      <c r="BE119" s="142"/>
      <c r="BF119" s="142"/>
      <c r="BG119" s="142"/>
      <c r="BH119" s="142"/>
      <c r="BI119" s="142"/>
      <c r="BJ119" s="142"/>
    </row>
    <row r="120" spans="1:62" s="49" customFormat="1">
      <c r="A120" s="39" t="s">
        <v>186</v>
      </c>
      <c r="B120" s="39" t="s">
        <v>53</v>
      </c>
      <c r="C120" s="39" t="s">
        <v>92</v>
      </c>
      <c r="D120" s="39">
        <f t="shared" si="49"/>
        <v>843400</v>
      </c>
      <c r="E120" s="64">
        <f t="shared" si="50"/>
        <v>783400</v>
      </c>
      <c r="F120" s="179">
        <f t="shared" si="39"/>
        <v>0.57441919836609645</v>
      </c>
      <c r="G120" s="39">
        <v>450000</v>
      </c>
      <c r="H120" s="39">
        <f t="shared" si="57"/>
        <v>50000</v>
      </c>
      <c r="I120" s="57">
        <f t="shared" si="61"/>
        <v>251000</v>
      </c>
      <c r="J120" s="57"/>
      <c r="K120" s="39">
        <f>150000*1.08</f>
        <v>162000</v>
      </c>
      <c r="L120" s="39">
        <f>40000*1.08</f>
        <v>43200</v>
      </c>
      <c r="M120" s="39"/>
      <c r="N120" s="39">
        <v>15000</v>
      </c>
      <c r="O120" s="39">
        <v>20000</v>
      </c>
      <c r="P120" s="39"/>
      <c r="Q120" s="39"/>
      <c r="R120" s="39">
        <f t="shared" si="58"/>
        <v>10800</v>
      </c>
      <c r="S120" s="65">
        <f t="shared" si="65"/>
        <v>32400</v>
      </c>
      <c r="T120" s="68"/>
      <c r="U120" s="68"/>
      <c r="V120" s="39">
        <v>21600</v>
      </c>
      <c r="W120" s="39">
        <v>10800</v>
      </c>
      <c r="X120" s="39"/>
      <c r="Y120" s="39"/>
      <c r="Z120" s="59">
        <f t="shared" si="53"/>
        <v>30000</v>
      </c>
      <c r="AA120" s="60">
        <v>30000</v>
      </c>
      <c r="AB120" s="60">
        <v>20000</v>
      </c>
      <c r="AC120" s="60"/>
      <c r="AD120" s="59">
        <f t="shared" si="59"/>
        <v>0</v>
      </c>
      <c r="AE120" s="60"/>
      <c r="AF120" s="59">
        <f t="shared" si="55"/>
        <v>30000</v>
      </c>
      <c r="AG120" s="60">
        <v>30000</v>
      </c>
      <c r="AH120" s="59">
        <f t="shared" si="60"/>
        <v>0</v>
      </c>
      <c r="AI120" s="59"/>
      <c r="AJ120" s="59" t="s">
        <v>130</v>
      </c>
      <c r="AK120" s="66">
        <f t="shared" si="63"/>
        <v>576</v>
      </c>
      <c r="AL120" s="37">
        <v>2</v>
      </c>
      <c r="AM120" s="37">
        <v>50</v>
      </c>
      <c r="AN120" s="38" t="s">
        <v>121</v>
      </c>
      <c r="AO120" s="70">
        <f t="shared" si="40"/>
        <v>35905833.333333336</v>
      </c>
      <c r="AP120" s="39" t="s">
        <v>125</v>
      </c>
      <c r="AQ120" s="38" t="s">
        <v>109</v>
      </c>
      <c r="AR120" s="38" t="s">
        <v>83</v>
      </c>
      <c r="AS120" s="38" t="s">
        <v>83</v>
      </c>
      <c r="AT120" s="38" t="s">
        <v>83</v>
      </c>
      <c r="AU120" s="38" t="s">
        <v>111</v>
      </c>
      <c r="AV120" s="40"/>
      <c r="AW120" s="38"/>
      <c r="AX120" s="40"/>
      <c r="AY120" s="41" t="str">
        <f t="shared" si="64"/>
        <v>70-80</v>
      </c>
      <c r="AZ120" s="75"/>
      <c r="BA120" s="143"/>
      <c r="BB120" s="143"/>
      <c r="BC120" s="144"/>
      <c r="BD120" s="145"/>
      <c r="BE120" s="142"/>
      <c r="BF120" s="142"/>
      <c r="BG120" s="142"/>
      <c r="BH120" s="142"/>
      <c r="BI120" s="142"/>
      <c r="BJ120" s="142"/>
    </row>
    <row r="121" spans="1:62" s="49" customFormat="1">
      <c r="A121" s="39" t="s">
        <v>186</v>
      </c>
      <c r="B121" s="39" t="s">
        <v>53</v>
      </c>
      <c r="C121" s="39" t="s">
        <v>92</v>
      </c>
      <c r="D121" s="39">
        <f t="shared" si="49"/>
        <v>843400</v>
      </c>
      <c r="E121" s="64">
        <f t="shared" si="50"/>
        <v>783400</v>
      </c>
      <c r="F121" s="179">
        <f t="shared" si="39"/>
        <v>0.57441919836609645</v>
      </c>
      <c r="G121" s="39">
        <v>450000</v>
      </c>
      <c r="H121" s="39">
        <f t="shared" si="57"/>
        <v>50000</v>
      </c>
      <c r="I121" s="57">
        <f t="shared" si="61"/>
        <v>251000</v>
      </c>
      <c r="J121" s="57"/>
      <c r="K121" s="39">
        <f>150000*1.08</f>
        <v>162000</v>
      </c>
      <c r="L121" s="39">
        <f>40000*1.08</f>
        <v>43200</v>
      </c>
      <c r="M121" s="39"/>
      <c r="N121" s="39">
        <v>15000</v>
      </c>
      <c r="O121" s="39">
        <v>20000</v>
      </c>
      <c r="P121" s="39"/>
      <c r="Q121" s="39"/>
      <c r="R121" s="39">
        <f t="shared" si="58"/>
        <v>10800</v>
      </c>
      <c r="S121" s="65">
        <f t="shared" si="65"/>
        <v>32400</v>
      </c>
      <c r="T121" s="68"/>
      <c r="U121" s="68"/>
      <c r="V121" s="39">
        <v>21600</v>
      </c>
      <c r="W121" s="39">
        <v>10800</v>
      </c>
      <c r="X121" s="39"/>
      <c r="Y121" s="39"/>
      <c r="Z121" s="59">
        <f t="shared" si="53"/>
        <v>30000</v>
      </c>
      <c r="AA121" s="60">
        <v>30000</v>
      </c>
      <c r="AB121" s="60">
        <v>20000</v>
      </c>
      <c r="AC121" s="60"/>
      <c r="AD121" s="59">
        <f t="shared" si="59"/>
        <v>0</v>
      </c>
      <c r="AE121" s="60"/>
      <c r="AF121" s="59">
        <f t="shared" si="55"/>
        <v>30000</v>
      </c>
      <c r="AG121" s="60">
        <v>30000</v>
      </c>
      <c r="AH121" s="59">
        <f t="shared" si="60"/>
        <v>0</v>
      </c>
      <c r="AI121" s="59"/>
      <c r="AJ121" s="59" t="s">
        <v>130</v>
      </c>
      <c r="AK121" s="66">
        <f t="shared" si="63"/>
        <v>576</v>
      </c>
      <c r="AL121" s="37">
        <v>2</v>
      </c>
      <c r="AM121" s="37">
        <v>50</v>
      </c>
      <c r="AN121" s="38" t="s">
        <v>121</v>
      </c>
      <c r="AO121" s="70">
        <f t="shared" si="40"/>
        <v>35905833.333333336</v>
      </c>
      <c r="AP121" s="39" t="s">
        <v>102</v>
      </c>
      <c r="AQ121" s="38" t="s">
        <v>109</v>
      </c>
      <c r="AR121" s="38" t="s">
        <v>83</v>
      </c>
      <c r="AS121" s="38" t="s">
        <v>83</v>
      </c>
      <c r="AT121" s="38" t="s">
        <v>83</v>
      </c>
      <c r="AU121" s="38" t="s">
        <v>111</v>
      </c>
      <c r="AV121" s="40"/>
      <c r="AW121" s="38"/>
      <c r="AX121" s="40"/>
      <c r="AY121" s="41" t="str">
        <f t="shared" si="64"/>
        <v>70-80</v>
      </c>
      <c r="AZ121" s="75"/>
      <c r="BA121" s="142"/>
      <c r="BB121" s="142"/>
      <c r="BC121" s="144"/>
      <c r="BD121" s="145"/>
      <c r="BE121" s="142"/>
      <c r="BF121" s="142"/>
      <c r="BG121" s="142"/>
      <c r="BH121" s="142"/>
      <c r="BI121" s="142"/>
      <c r="BJ121" s="142"/>
    </row>
    <row r="122" spans="1:62" s="49" customFormat="1">
      <c r="A122" s="39" t="s">
        <v>186</v>
      </c>
      <c r="B122" s="39" t="s">
        <v>53</v>
      </c>
      <c r="C122" s="39" t="s">
        <v>92</v>
      </c>
      <c r="D122" s="39">
        <f t="shared" si="49"/>
        <v>789400</v>
      </c>
      <c r="E122" s="64">
        <f t="shared" si="50"/>
        <v>729400</v>
      </c>
      <c r="F122" s="179">
        <f t="shared" si="39"/>
        <v>0.61694543460378393</v>
      </c>
      <c r="G122" s="39">
        <v>450000</v>
      </c>
      <c r="H122" s="39">
        <f t="shared" si="57"/>
        <v>50000</v>
      </c>
      <c r="I122" s="57">
        <f t="shared" si="61"/>
        <v>197000</v>
      </c>
      <c r="J122" s="57"/>
      <c r="K122" s="39">
        <f>70000*1.08</f>
        <v>75600</v>
      </c>
      <c r="L122" s="39">
        <f>20000*1.08</f>
        <v>21600</v>
      </c>
      <c r="M122" s="39">
        <f>50000*1.08</f>
        <v>54000</v>
      </c>
      <c r="N122" s="39">
        <v>15000</v>
      </c>
      <c r="O122" s="39">
        <v>20000</v>
      </c>
      <c r="P122" s="39"/>
      <c r="Q122" s="39"/>
      <c r="R122" s="39">
        <f t="shared" si="58"/>
        <v>10800</v>
      </c>
      <c r="S122" s="65">
        <f t="shared" si="65"/>
        <v>32400</v>
      </c>
      <c r="T122" s="68"/>
      <c r="U122" s="68"/>
      <c r="V122" s="39">
        <v>21600</v>
      </c>
      <c r="W122" s="39">
        <v>10800</v>
      </c>
      <c r="X122" s="39"/>
      <c r="Y122" s="39"/>
      <c r="Z122" s="59">
        <f t="shared" si="53"/>
        <v>30000</v>
      </c>
      <c r="AA122" s="60">
        <v>30000</v>
      </c>
      <c r="AB122" s="60">
        <v>20000</v>
      </c>
      <c r="AC122" s="60"/>
      <c r="AD122" s="59">
        <f t="shared" si="59"/>
        <v>0</v>
      </c>
      <c r="AE122" s="60"/>
      <c r="AF122" s="59">
        <f t="shared" si="55"/>
        <v>30000</v>
      </c>
      <c r="AG122" s="60">
        <v>30000</v>
      </c>
      <c r="AH122" s="59">
        <f t="shared" si="60"/>
        <v>0</v>
      </c>
      <c r="AI122" s="59"/>
      <c r="AJ122" s="59" t="s">
        <v>130</v>
      </c>
      <c r="AK122" s="66">
        <f t="shared" si="63"/>
        <v>576</v>
      </c>
      <c r="AL122" s="37">
        <v>2</v>
      </c>
      <c r="AM122" s="37">
        <v>50</v>
      </c>
      <c r="AN122" s="38" t="s">
        <v>121</v>
      </c>
      <c r="AO122" s="70">
        <f t="shared" si="40"/>
        <v>33430833.333333332</v>
      </c>
      <c r="AP122" s="39" t="s">
        <v>60</v>
      </c>
      <c r="AQ122" s="38" t="s">
        <v>109</v>
      </c>
      <c r="AR122" s="38" t="s">
        <v>83</v>
      </c>
      <c r="AS122" s="38" t="s">
        <v>83</v>
      </c>
      <c r="AT122" s="38" t="s">
        <v>83</v>
      </c>
      <c r="AU122" s="38" t="s">
        <v>111</v>
      </c>
      <c r="AV122" s="40"/>
      <c r="AW122" s="38"/>
      <c r="AX122" s="40"/>
      <c r="AY122" s="41" t="str">
        <f t="shared" si="64"/>
        <v>70-80</v>
      </c>
      <c r="AZ122" s="75"/>
      <c r="BA122" s="142"/>
      <c r="BB122" s="142"/>
      <c r="BC122" s="144"/>
      <c r="BD122" s="145"/>
      <c r="BE122" s="142"/>
      <c r="BF122" s="142"/>
      <c r="BG122" s="142"/>
      <c r="BH122" s="142"/>
      <c r="BI122" s="142"/>
      <c r="BJ122" s="142"/>
    </row>
    <row r="123" spans="1:62" s="49" customFormat="1">
      <c r="A123" s="39" t="s">
        <v>186</v>
      </c>
      <c r="B123" s="39" t="s">
        <v>53</v>
      </c>
      <c r="C123" s="39" t="s">
        <v>92</v>
      </c>
      <c r="D123" s="39">
        <f t="shared" si="49"/>
        <v>778600</v>
      </c>
      <c r="E123" s="64">
        <f t="shared" si="50"/>
        <v>718600</v>
      </c>
      <c r="F123" s="179">
        <f t="shared" si="39"/>
        <v>0.62621764542165326</v>
      </c>
      <c r="G123" s="39">
        <v>450000</v>
      </c>
      <c r="H123" s="39">
        <f t="shared" si="57"/>
        <v>50000</v>
      </c>
      <c r="I123" s="57">
        <f t="shared" si="61"/>
        <v>186200</v>
      </c>
      <c r="J123" s="57"/>
      <c r="K123" s="39">
        <f>100000*1.08</f>
        <v>108000</v>
      </c>
      <c r="L123" s="39">
        <f>30000*1.08</f>
        <v>32400.000000000004</v>
      </c>
      <c r="M123" s="39"/>
      <c r="N123" s="39">
        <v>15000</v>
      </c>
      <c r="O123" s="39">
        <v>20000</v>
      </c>
      <c r="P123" s="39"/>
      <c r="Q123" s="39"/>
      <c r="R123" s="39">
        <f t="shared" si="58"/>
        <v>10800</v>
      </c>
      <c r="S123" s="65">
        <f t="shared" si="65"/>
        <v>32400</v>
      </c>
      <c r="T123" s="68"/>
      <c r="U123" s="68"/>
      <c r="V123" s="39">
        <v>21600</v>
      </c>
      <c r="W123" s="39">
        <v>10800</v>
      </c>
      <c r="X123" s="39"/>
      <c r="Y123" s="39"/>
      <c r="Z123" s="59">
        <f t="shared" si="53"/>
        <v>30000</v>
      </c>
      <c r="AA123" s="60">
        <v>30000</v>
      </c>
      <c r="AB123" s="60">
        <v>20000</v>
      </c>
      <c r="AC123" s="60"/>
      <c r="AD123" s="59">
        <f t="shared" si="59"/>
        <v>0</v>
      </c>
      <c r="AE123" s="60"/>
      <c r="AF123" s="59">
        <f t="shared" si="55"/>
        <v>30000</v>
      </c>
      <c r="AG123" s="60">
        <v>30000</v>
      </c>
      <c r="AH123" s="59">
        <f t="shared" si="60"/>
        <v>0</v>
      </c>
      <c r="AI123" s="59"/>
      <c r="AJ123" s="59" t="s">
        <v>130</v>
      </c>
      <c r="AK123" s="66">
        <f t="shared" si="63"/>
        <v>576</v>
      </c>
      <c r="AL123" s="37">
        <v>2</v>
      </c>
      <c r="AM123" s="37">
        <v>50</v>
      </c>
      <c r="AN123" s="38" t="s">
        <v>121</v>
      </c>
      <c r="AO123" s="70">
        <f t="shared" si="40"/>
        <v>32935833.333333332</v>
      </c>
      <c r="AP123" s="39" t="s">
        <v>67</v>
      </c>
      <c r="AQ123" s="38" t="s">
        <v>109</v>
      </c>
      <c r="AR123" s="38" t="s">
        <v>83</v>
      </c>
      <c r="AS123" s="38" t="s">
        <v>83</v>
      </c>
      <c r="AT123" s="38" t="s">
        <v>83</v>
      </c>
      <c r="AU123" s="38" t="s">
        <v>111</v>
      </c>
      <c r="AV123" s="40"/>
      <c r="AW123" s="38"/>
      <c r="AX123" s="40"/>
      <c r="AY123" s="41" t="str">
        <f t="shared" si="64"/>
        <v>70-80</v>
      </c>
      <c r="AZ123" s="75"/>
      <c r="BA123" s="142"/>
      <c r="BB123" s="142"/>
      <c r="BC123" s="144"/>
      <c r="BD123" s="145"/>
      <c r="BE123" s="142"/>
      <c r="BF123" s="142"/>
      <c r="BG123" s="142"/>
      <c r="BH123" s="142"/>
      <c r="BI123" s="142"/>
      <c r="BJ123" s="142"/>
    </row>
    <row r="124" spans="1:62" s="49" customFormat="1" ht="30">
      <c r="A124" s="39" t="s">
        <v>186</v>
      </c>
      <c r="B124" s="45" t="s">
        <v>95</v>
      </c>
      <c r="C124" s="45" t="s">
        <v>93</v>
      </c>
      <c r="D124" s="39" t="e">
        <f t="shared" ref="D124:D150" si="66">G124+H124+S124+Z124+AF124</f>
        <v>#VALUE!</v>
      </c>
      <c r="E124" s="64">
        <f t="shared" ref="E124:E155" si="67">G124+H124+S124+I124</f>
        <v>459600</v>
      </c>
      <c r="F124" s="179">
        <f t="shared" si="39"/>
        <v>0.71801566579634468</v>
      </c>
      <c r="G124" s="45">
        <v>330000</v>
      </c>
      <c r="H124" s="45">
        <v>32400</v>
      </c>
      <c r="I124" s="57">
        <f t="shared" si="61"/>
        <v>43200</v>
      </c>
      <c r="J124" s="69">
        <v>32400</v>
      </c>
      <c r="K124" s="69"/>
      <c r="L124" s="69"/>
      <c r="M124" s="69"/>
      <c r="N124" s="69"/>
      <c r="O124" s="69"/>
      <c r="P124" s="69"/>
      <c r="Q124" s="69"/>
      <c r="R124" s="69">
        <f>$BI$8*AL124*1.08</f>
        <v>10800</v>
      </c>
      <c r="S124" s="65">
        <f t="shared" si="65"/>
        <v>54000</v>
      </c>
      <c r="T124" s="67">
        <f>$BI$11*AL124*1.08</f>
        <v>21600</v>
      </c>
      <c r="U124" s="67"/>
      <c r="V124" s="45">
        <v>32400</v>
      </c>
      <c r="W124" s="45"/>
      <c r="X124" s="45"/>
      <c r="Y124" s="45"/>
      <c r="Z124" s="61" t="s">
        <v>128</v>
      </c>
      <c r="AA124" s="61" t="s">
        <v>128</v>
      </c>
      <c r="AB124" s="61" t="s">
        <v>128</v>
      </c>
      <c r="AC124" s="61" t="s">
        <v>128</v>
      </c>
      <c r="AD124" s="61" t="s">
        <v>128</v>
      </c>
      <c r="AE124" s="61" t="s">
        <v>128</v>
      </c>
      <c r="AF124" s="61" t="s">
        <v>128</v>
      </c>
      <c r="AG124" s="61" t="s">
        <v>128</v>
      </c>
      <c r="AH124" s="61" t="s">
        <v>128</v>
      </c>
      <c r="AI124" s="61"/>
      <c r="AJ124" s="61" t="s">
        <v>129</v>
      </c>
      <c r="AK124" s="44">
        <f t="shared" ref="AK124:AK130" si="68">15*15</f>
        <v>225</v>
      </c>
      <c r="AL124" s="44">
        <v>1</v>
      </c>
      <c r="AM124" s="44" t="s">
        <v>131</v>
      </c>
      <c r="AN124" s="44" t="s">
        <v>145</v>
      </c>
      <c r="AO124" s="70">
        <f t="shared" si="40"/>
        <v>53926400</v>
      </c>
      <c r="AP124" s="45"/>
      <c r="AQ124" s="44"/>
      <c r="AR124" s="44" t="s">
        <v>83</v>
      </c>
      <c r="AS124" s="44" t="s">
        <v>132</v>
      </c>
      <c r="AT124" s="44" t="s">
        <v>133</v>
      </c>
      <c r="AU124" s="44" t="s">
        <v>134</v>
      </c>
      <c r="AV124" s="46">
        <f>30*3*5</f>
        <v>450</v>
      </c>
      <c r="AW124" s="46">
        <f>AV124*7/10</f>
        <v>315</v>
      </c>
      <c r="AX124" s="40">
        <f>E124*AW124</f>
        <v>144774000</v>
      </c>
      <c r="AY124" s="41" t="str">
        <f t="shared" si="64"/>
        <v>40-50</v>
      </c>
      <c r="AZ124" s="76" t="s">
        <v>138</v>
      </c>
      <c r="BA124" s="47"/>
      <c r="BB124" s="47"/>
    </row>
    <row r="125" spans="1:62" s="49" customFormat="1">
      <c r="A125" s="39" t="s">
        <v>186</v>
      </c>
      <c r="B125" s="45" t="s">
        <v>95</v>
      </c>
      <c r="C125" s="45" t="s">
        <v>93</v>
      </c>
      <c r="D125" s="39" t="e">
        <f t="shared" si="66"/>
        <v>#VALUE!</v>
      </c>
      <c r="E125" s="64">
        <f t="shared" si="67"/>
        <v>645200</v>
      </c>
      <c r="F125" s="179">
        <f t="shared" si="39"/>
        <v>0.68195908245505266</v>
      </c>
      <c r="G125" s="45">
        <v>440000</v>
      </c>
      <c r="H125" s="45">
        <v>43200</v>
      </c>
      <c r="I125" s="57">
        <f t="shared" si="61"/>
        <v>54000</v>
      </c>
      <c r="J125" s="69">
        <v>32400</v>
      </c>
      <c r="K125" s="69"/>
      <c r="L125" s="69"/>
      <c r="M125" s="69"/>
      <c r="N125" s="69"/>
      <c r="O125" s="69"/>
      <c r="P125" s="69"/>
      <c r="Q125" s="69"/>
      <c r="R125" s="69">
        <f>$BI$8*AL125*1.08</f>
        <v>21600</v>
      </c>
      <c r="S125" s="65">
        <f t="shared" si="65"/>
        <v>108000</v>
      </c>
      <c r="T125" s="67">
        <f>$BI$11*AL125*1.08</f>
        <v>43200</v>
      </c>
      <c r="U125" s="67"/>
      <c r="V125" s="45">
        <v>32400</v>
      </c>
      <c r="W125" s="45">
        <v>32400</v>
      </c>
      <c r="X125" s="45"/>
      <c r="Y125" s="45"/>
      <c r="Z125" s="61" t="s">
        <v>128</v>
      </c>
      <c r="AA125" s="61" t="s">
        <v>128</v>
      </c>
      <c r="AB125" s="61" t="s">
        <v>128</v>
      </c>
      <c r="AC125" s="61" t="s">
        <v>128</v>
      </c>
      <c r="AD125" s="61" t="s">
        <v>128</v>
      </c>
      <c r="AE125" s="61" t="s">
        <v>128</v>
      </c>
      <c r="AF125" s="61" t="s">
        <v>128</v>
      </c>
      <c r="AG125" s="61" t="s">
        <v>128</v>
      </c>
      <c r="AH125" s="61" t="s">
        <v>128</v>
      </c>
      <c r="AI125" s="61"/>
      <c r="AJ125" s="61" t="s">
        <v>129</v>
      </c>
      <c r="AK125" s="44">
        <f t="shared" si="68"/>
        <v>225</v>
      </c>
      <c r="AL125" s="44">
        <v>2</v>
      </c>
      <c r="AM125" s="44" t="s">
        <v>131</v>
      </c>
      <c r="AN125" s="44" t="s">
        <v>145</v>
      </c>
      <c r="AO125" s="70">
        <f t="shared" si="40"/>
        <v>75703466.666666657</v>
      </c>
      <c r="AP125" s="45"/>
      <c r="AQ125" s="44"/>
      <c r="AR125" s="44" t="s">
        <v>83</v>
      </c>
      <c r="AS125" s="44" t="s">
        <v>132</v>
      </c>
      <c r="AT125" s="44" t="s">
        <v>133</v>
      </c>
      <c r="AU125" s="44" t="s">
        <v>134</v>
      </c>
      <c r="AV125" s="46"/>
      <c r="AW125" s="46"/>
      <c r="AX125" s="40"/>
      <c r="AY125" s="41" t="str">
        <f t="shared" si="64"/>
        <v>60-70</v>
      </c>
      <c r="AZ125" s="76"/>
      <c r="BA125" s="47"/>
      <c r="BB125" s="47"/>
    </row>
    <row r="126" spans="1:62" s="49" customFormat="1">
      <c r="A126" s="39" t="s">
        <v>186</v>
      </c>
      <c r="B126" s="45" t="s">
        <v>95</v>
      </c>
      <c r="C126" s="45" t="s">
        <v>93</v>
      </c>
      <c r="D126" s="39" t="e">
        <f t="shared" si="66"/>
        <v>#VALUE!</v>
      </c>
      <c r="E126" s="64">
        <f t="shared" si="67"/>
        <v>951600</v>
      </c>
      <c r="F126" s="179">
        <f t="shared" si="39"/>
        <v>0.69356872635561162</v>
      </c>
      <c r="G126" s="45">
        <v>660000</v>
      </c>
      <c r="H126" s="45">
        <v>54000</v>
      </c>
      <c r="I126" s="57">
        <f t="shared" si="61"/>
        <v>75600</v>
      </c>
      <c r="J126" s="69">
        <v>43200</v>
      </c>
      <c r="K126" s="45"/>
      <c r="L126" s="45"/>
      <c r="M126" s="45"/>
      <c r="N126" s="45"/>
      <c r="O126" s="45"/>
      <c r="P126" s="45"/>
      <c r="Q126" s="45"/>
      <c r="R126" s="69">
        <f>$BI$8*AL126*1.08</f>
        <v>32400.000000000004</v>
      </c>
      <c r="S126" s="65">
        <f t="shared" si="65"/>
        <v>162000</v>
      </c>
      <c r="T126" s="67">
        <f>$BI$11*AL126*1.08</f>
        <v>64800.000000000007</v>
      </c>
      <c r="U126" s="67"/>
      <c r="V126" s="45">
        <v>32400</v>
      </c>
      <c r="W126" s="45">
        <v>32400</v>
      </c>
      <c r="X126" s="45">
        <v>32400</v>
      </c>
      <c r="Y126" s="45"/>
      <c r="Z126" s="61" t="s">
        <v>128</v>
      </c>
      <c r="AA126" s="61" t="s">
        <v>128</v>
      </c>
      <c r="AB126" s="61" t="s">
        <v>128</v>
      </c>
      <c r="AC126" s="61" t="s">
        <v>128</v>
      </c>
      <c r="AD126" s="61" t="s">
        <v>128</v>
      </c>
      <c r="AE126" s="61" t="s">
        <v>128</v>
      </c>
      <c r="AF126" s="61" t="s">
        <v>128</v>
      </c>
      <c r="AG126" s="61" t="s">
        <v>128</v>
      </c>
      <c r="AH126" s="61" t="s">
        <v>128</v>
      </c>
      <c r="AI126" s="61"/>
      <c r="AJ126" s="61" t="s">
        <v>129</v>
      </c>
      <c r="AK126" s="44">
        <f t="shared" si="68"/>
        <v>225</v>
      </c>
      <c r="AL126" s="44">
        <v>3</v>
      </c>
      <c r="AM126" s="44" t="s">
        <v>131</v>
      </c>
      <c r="AN126" s="44" t="s">
        <v>145</v>
      </c>
      <c r="AO126" s="70">
        <f t="shared" si="40"/>
        <v>111654400</v>
      </c>
      <c r="AP126" s="45"/>
      <c r="AQ126" s="44"/>
      <c r="AR126" s="44" t="s">
        <v>83</v>
      </c>
      <c r="AS126" s="44" t="s">
        <v>132</v>
      </c>
      <c r="AT126" s="44" t="s">
        <v>133</v>
      </c>
      <c r="AU126" s="44" t="s">
        <v>134</v>
      </c>
      <c r="AV126" s="46"/>
      <c r="AW126" s="46"/>
      <c r="AX126" s="40"/>
      <c r="AY126" s="41" t="str">
        <f t="shared" si="64"/>
        <v>70-80</v>
      </c>
      <c r="AZ126" s="76"/>
      <c r="BA126" s="47"/>
      <c r="BB126" s="47"/>
    </row>
    <row r="127" spans="1:62" s="49" customFormat="1">
      <c r="A127" s="39" t="s">
        <v>186</v>
      </c>
      <c r="B127" s="45" t="s">
        <v>95</v>
      </c>
      <c r="C127" s="45" t="s">
        <v>93</v>
      </c>
      <c r="D127" s="39" t="e">
        <f t="shared" si="66"/>
        <v>#VALUE!</v>
      </c>
      <c r="E127" s="64">
        <f t="shared" si="67"/>
        <v>1016400</v>
      </c>
      <c r="F127" s="179">
        <f t="shared" si="39"/>
        <v>0.64935064935064934</v>
      </c>
      <c r="G127" s="45">
        <v>660000</v>
      </c>
      <c r="H127" s="45">
        <v>54000</v>
      </c>
      <c r="I127" s="57">
        <f t="shared" si="61"/>
        <v>86400</v>
      </c>
      <c r="J127" s="69">
        <v>43200</v>
      </c>
      <c r="K127" s="45"/>
      <c r="L127" s="45"/>
      <c r="M127" s="45"/>
      <c r="N127" s="45"/>
      <c r="O127" s="45"/>
      <c r="P127" s="45"/>
      <c r="Q127" s="45"/>
      <c r="R127" s="69">
        <f>$BI$8*AL127*1.08</f>
        <v>43200</v>
      </c>
      <c r="S127" s="65">
        <f t="shared" si="65"/>
        <v>216000</v>
      </c>
      <c r="T127" s="67">
        <f>$BI$11*AL127*1.08</f>
        <v>86400</v>
      </c>
      <c r="U127" s="67"/>
      <c r="V127" s="45">
        <v>32400</v>
      </c>
      <c r="W127" s="45">
        <v>32400</v>
      </c>
      <c r="X127" s="45">
        <v>32400</v>
      </c>
      <c r="Y127" s="45">
        <v>32400</v>
      </c>
      <c r="Z127" s="61" t="s">
        <v>128</v>
      </c>
      <c r="AA127" s="61" t="s">
        <v>128</v>
      </c>
      <c r="AB127" s="61" t="s">
        <v>128</v>
      </c>
      <c r="AC127" s="61" t="s">
        <v>128</v>
      </c>
      <c r="AD127" s="61" t="s">
        <v>128</v>
      </c>
      <c r="AE127" s="61" t="s">
        <v>128</v>
      </c>
      <c r="AF127" s="61" t="s">
        <v>128</v>
      </c>
      <c r="AG127" s="61" t="s">
        <v>128</v>
      </c>
      <c r="AH127" s="61" t="s">
        <v>128</v>
      </c>
      <c r="AI127" s="61"/>
      <c r="AJ127" s="61" t="s">
        <v>129</v>
      </c>
      <c r="AK127" s="44">
        <f t="shared" si="68"/>
        <v>225</v>
      </c>
      <c r="AL127" s="44">
        <v>4</v>
      </c>
      <c r="AM127" s="44" t="s">
        <v>131</v>
      </c>
      <c r="AN127" s="44" t="s">
        <v>145</v>
      </c>
      <c r="AO127" s="70">
        <f t="shared" si="40"/>
        <v>119257600</v>
      </c>
      <c r="AP127" s="45"/>
      <c r="AQ127" s="44"/>
      <c r="AR127" s="44" t="s">
        <v>83</v>
      </c>
      <c r="AS127" s="44" t="s">
        <v>132</v>
      </c>
      <c r="AT127" s="44" t="s">
        <v>133</v>
      </c>
      <c r="AU127" s="44" t="s">
        <v>134</v>
      </c>
      <c r="AV127" s="46"/>
      <c r="AW127" s="46"/>
      <c r="AX127" s="40"/>
      <c r="AY127" s="41" t="str">
        <f t="shared" si="64"/>
        <v>100-110</v>
      </c>
      <c r="AZ127" s="76"/>
      <c r="BA127" s="47"/>
      <c r="BB127" s="47"/>
    </row>
    <row r="128" spans="1:62" s="49" customFormat="1" ht="45">
      <c r="A128" s="39" t="s">
        <v>186</v>
      </c>
      <c r="B128" s="45" t="s">
        <v>95</v>
      </c>
      <c r="C128" s="45" t="s">
        <v>149</v>
      </c>
      <c r="D128" s="39" t="e">
        <f t="shared" si="66"/>
        <v>#VALUE!</v>
      </c>
      <c r="E128" s="64">
        <f t="shared" si="67"/>
        <v>580440</v>
      </c>
      <c r="F128" s="179">
        <f t="shared" si="39"/>
        <v>0.82695885879677489</v>
      </c>
      <c r="G128" s="45">
        <v>480000</v>
      </c>
      <c r="H128" s="45">
        <v>0</v>
      </c>
      <c r="I128" s="45">
        <f t="shared" si="61"/>
        <v>54000</v>
      </c>
      <c r="J128" s="45">
        <v>32400</v>
      </c>
      <c r="K128" s="45"/>
      <c r="L128" s="45"/>
      <c r="M128" s="45"/>
      <c r="N128" s="45"/>
      <c r="O128" s="45"/>
      <c r="P128" s="45"/>
      <c r="Q128" s="45"/>
      <c r="R128" s="69">
        <f>$BJ$8*AL128*1.08</f>
        <v>21600</v>
      </c>
      <c r="S128" s="65">
        <f t="shared" si="65"/>
        <v>46440</v>
      </c>
      <c r="T128" s="67">
        <f>13000*1.08</f>
        <v>14040.000000000002</v>
      </c>
      <c r="U128" s="67"/>
      <c r="V128" s="45">
        <v>32400</v>
      </c>
      <c r="W128" s="45"/>
      <c r="X128" s="45"/>
      <c r="Y128" s="45"/>
      <c r="Z128" s="61" t="s">
        <v>128</v>
      </c>
      <c r="AA128" s="61" t="s">
        <v>128</v>
      </c>
      <c r="AB128" s="61" t="s">
        <v>128</v>
      </c>
      <c r="AC128" s="61" t="s">
        <v>128</v>
      </c>
      <c r="AD128" s="61" t="s">
        <v>128</v>
      </c>
      <c r="AE128" s="61" t="s">
        <v>128</v>
      </c>
      <c r="AF128" s="61" t="s">
        <v>128</v>
      </c>
      <c r="AG128" s="61" t="s">
        <v>128</v>
      </c>
      <c r="AH128" s="61" t="s">
        <v>128</v>
      </c>
      <c r="AI128" s="61"/>
      <c r="AJ128" s="61" t="s">
        <v>129</v>
      </c>
      <c r="AK128" s="44">
        <f t="shared" si="68"/>
        <v>225</v>
      </c>
      <c r="AL128" s="44">
        <v>1</v>
      </c>
      <c r="AM128" s="44">
        <v>13</v>
      </c>
      <c r="AN128" s="44" t="s">
        <v>145</v>
      </c>
      <c r="AO128" s="70">
        <f t="shared" si="40"/>
        <v>68104959.999999985</v>
      </c>
      <c r="AP128" s="45"/>
      <c r="AQ128" s="44"/>
      <c r="AR128" s="44" t="s">
        <v>83</v>
      </c>
      <c r="AS128" s="44" t="s">
        <v>132</v>
      </c>
      <c r="AT128" s="44" t="s">
        <v>146</v>
      </c>
      <c r="AU128" s="44" t="s">
        <v>134</v>
      </c>
      <c r="AV128" s="46">
        <v>200</v>
      </c>
      <c r="AW128" s="46">
        <v>40</v>
      </c>
      <c r="AX128" s="40">
        <f>E128*AW128</f>
        <v>23217600</v>
      </c>
      <c r="AY128" s="41" t="str">
        <f t="shared" si="64"/>
        <v>50-60</v>
      </c>
      <c r="AZ128" s="76" t="s">
        <v>147</v>
      </c>
      <c r="BA128" s="47"/>
      <c r="BB128" s="47"/>
    </row>
    <row r="129" spans="1:56" ht="60">
      <c r="A129" s="39" t="s">
        <v>186</v>
      </c>
      <c r="B129" s="45" t="s">
        <v>95</v>
      </c>
      <c r="C129" s="45" t="s">
        <v>149</v>
      </c>
      <c r="D129" s="39" t="e">
        <f t="shared" si="66"/>
        <v>#VALUE!</v>
      </c>
      <c r="E129" s="64">
        <f t="shared" si="67"/>
        <v>680440</v>
      </c>
      <c r="F129" s="179">
        <f t="shared" si="39"/>
        <v>0.85238963023925696</v>
      </c>
      <c r="G129" s="39">
        <v>580000</v>
      </c>
      <c r="H129" s="45">
        <v>0</v>
      </c>
      <c r="I129" s="45">
        <f t="shared" si="61"/>
        <v>54000</v>
      </c>
      <c r="J129" s="45">
        <v>32400</v>
      </c>
      <c r="K129" s="45"/>
      <c r="L129" s="45"/>
      <c r="M129" s="45"/>
      <c r="N129" s="45"/>
      <c r="O129" s="45"/>
      <c r="P129" s="45"/>
      <c r="Q129" s="45"/>
      <c r="R129" s="69">
        <f>$BJ$8*AL129*1.08</f>
        <v>21600</v>
      </c>
      <c r="S129" s="65">
        <f t="shared" si="65"/>
        <v>46440</v>
      </c>
      <c r="T129" s="67">
        <f>13000*1.08</f>
        <v>14040.000000000002</v>
      </c>
      <c r="U129" s="67"/>
      <c r="V129" s="45">
        <v>32400</v>
      </c>
      <c r="W129" s="45"/>
      <c r="X129" s="45"/>
      <c r="Y129" s="45"/>
      <c r="Z129" s="61" t="s">
        <v>128</v>
      </c>
      <c r="AA129" s="61" t="s">
        <v>128</v>
      </c>
      <c r="AB129" s="61" t="s">
        <v>128</v>
      </c>
      <c r="AC129" s="61" t="s">
        <v>128</v>
      </c>
      <c r="AD129" s="61" t="s">
        <v>128</v>
      </c>
      <c r="AE129" s="61" t="s">
        <v>128</v>
      </c>
      <c r="AF129" s="61" t="s">
        <v>128</v>
      </c>
      <c r="AG129" s="61" t="s">
        <v>128</v>
      </c>
      <c r="AH129" s="61" t="s">
        <v>128</v>
      </c>
      <c r="AI129" s="61"/>
      <c r="AJ129" s="61" t="s">
        <v>129</v>
      </c>
      <c r="AK129" s="44">
        <f t="shared" si="68"/>
        <v>225</v>
      </c>
      <c r="AL129" s="44">
        <v>1</v>
      </c>
      <c r="AM129" s="37">
        <v>33</v>
      </c>
      <c r="AN129" s="44" t="s">
        <v>145</v>
      </c>
      <c r="AO129" s="70">
        <f t="shared" si="40"/>
        <v>79838293.333333328</v>
      </c>
      <c r="AP129" s="45"/>
      <c r="AQ129" s="44"/>
      <c r="AR129" s="44" t="s">
        <v>83</v>
      </c>
      <c r="AS129" s="44" t="s">
        <v>132</v>
      </c>
      <c r="AT129" s="44" t="s">
        <v>146</v>
      </c>
      <c r="AU129" s="44" t="s">
        <v>134</v>
      </c>
      <c r="AV129" s="40"/>
      <c r="AW129" s="38"/>
      <c r="AX129" s="40"/>
      <c r="AY129" s="41" t="str">
        <f t="shared" si="64"/>
        <v>60-70</v>
      </c>
      <c r="AZ129" s="75" t="s">
        <v>150</v>
      </c>
      <c r="BA129" s="35"/>
      <c r="BB129" s="35"/>
      <c r="BC129" s="49"/>
      <c r="BD129" s="49"/>
    </row>
    <row r="130" spans="1:56">
      <c r="A130" s="39" t="s">
        <v>186</v>
      </c>
      <c r="B130" s="45" t="s">
        <v>95</v>
      </c>
      <c r="C130" s="45" t="s">
        <v>149</v>
      </c>
      <c r="D130" s="39" t="e">
        <f t="shared" si="66"/>
        <v>#VALUE!</v>
      </c>
      <c r="E130" s="64">
        <f t="shared" si="67"/>
        <v>820440</v>
      </c>
      <c r="F130" s="179">
        <f t="shared" si="39"/>
        <v>0.87757788503729706</v>
      </c>
      <c r="G130" s="39">
        <v>720000</v>
      </c>
      <c r="H130" s="45">
        <v>0</v>
      </c>
      <c r="I130" s="45">
        <f t="shared" si="61"/>
        <v>54000</v>
      </c>
      <c r="J130" s="45">
        <v>32400</v>
      </c>
      <c r="K130" s="45"/>
      <c r="L130" s="45"/>
      <c r="M130" s="45"/>
      <c r="N130" s="45"/>
      <c r="O130" s="45"/>
      <c r="P130" s="45"/>
      <c r="Q130" s="45"/>
      <c r="R130" s="69">
        <f>$BJ$8*AL130*1.08</f>
        <v>21600</v>
      </c>
      <c r="S130" s="65">
        <f t="shared" si="65"/>
        <v>46440</v>
      </c>
      <c r="T130" s="67">
        <f>13000*1.08</f>
        <v>14040.000000000002</v>
      </c>
      <c r="U130" s="67"/>
      <c r="V130" s="45">
        <v>32400</v>
      </c>
      <c r="W130" s="45"/>
      <c r="X130" s="45"/>
      <c r="Y130" s="45"/>
      <c r="Z130" s="61" t="s">
        <v>128</v>
      </c>
      <c r="AA130" s="61" t="s">
        <v>128</v>
      </c>
      <c r="AB130" s="61" t="s">
        <v>128</v>
      </c>
      <c r="AC130" s="61" t="s">
        <v>128</v>
      </c>
      <c r="AD130" s="61" t="s">
        <v>128</v>
      </c>
      <c r="AE130" s="61" t="s">
        <v>128</v>
      </c>
      <c r="AF130" s="61" t="s">
        <v>128</v>
      </c>
      <c r="AG130" s="61" t="s">
        <v>128</v>
      </c>
      <c r="AH130" s="61" t="s">
        <v>128</v>
      </c>
      <c r="AI130" s="61"/>
      <c r="AJ130" s="61" t="s">
        <v>129</v>
      </c>
      <c r="AK130" s="44">
        <f t="shared" si="68"/>
        <v>225</v>
      </c>
      <c r="AL130" s="44">
        <v>1</v>
      </c>
      <c r="AM130" s="37" t="s">
        <v>148</v>
      </c>
      <c r="AN130" s="44" t="s">
        <v>145</v>
      </c>
      <c r="AO130" s="70">
        <f t="shared" si="40"/>
        <v>96264960</v>
      </c>
      <c r="AP130" s="45"/>
      <c r="AQ130" s="44"/>
      <c r="AR130" s="44" t="s">
        <v>83</v>
      </c>
      <c r="AS130" s="44" t="s">
        <v>132</v>
      </c>
      <c r="AT130" s="44" t="s">
        <v>146</v>
      </c>
      <c r="AU130" s="44" t="s">
        <v>134</v>
      </c>
      <c r="AV130" s="40"/>
      <c r="AW130" s="38"/>
      <c r="AX130" s="40"/>
      <c r="AY130" s="41" t="str">
        <f t="shared" si="64"/>
        <v>70-80</v>
      </c>
      <c r="AZ130" s="75"/>
      <c r="BA130" s="35"/>
      <c r="BB130" s="35"/>
      <c r="BC130" s="49"/>
      <c r="BD130" s="49"/>
    </row>
    <row r="131" spans="1:56">
      <c r="A131" s="39" t="s">
        <v>186</v>
      </c>
      <c r="B131" s="45" t="s">
        <v>95</v>
      </c>
      <c r="C131" s="45" t="s">
        <v>149</v>
      </c>
      <c r="D131" s="39" t="e">
        <f t="shared" si="66"/>
        <v>#VALUE!</v>
      </c>
      <c r="E131" s="64">
        <f t="shared" si="67"/>
        <v>2145600</v>
      </c>
      <c r="F131" s="179">
        <f t="shared" si="39"/>
        <v>0.5592841163310962</v>
      </c>
      <c r="G131" s="39">
        <v>1200000</v>
      </c>
      <c r="H131" s="39">
        <v>600000</v>
      </c>
      <c r="I131" s="45">
        <f t="shared" si="61"/>
        <v>313200</v>
      </c>
      <c r="J131" s="39"/>
      <c r="K131" s="39">
        <f>200000*1.08</f>
        <v>216000</v>
      </c>
      <c r="L131" s="39"/>
      <c r="M131" s="39"/>
      <c r="N131" s="39"/>
      <c r="O131" s="39"/>
      <c r="P131" s="39"/>
      <c r="Q131" s="39"/>
      <c r="R131" s="39">
        <f>1.08*90000</f>
        <v>97200</v>
      </c>
      <c r="S131" s="65">
        <f t="shared" si="65"/>
        <v>32400</v>
      </c>
      <c r="T131" s="67"/>
      <c r="U131" s="67"/>
      <c r="V131" s="39">
        <v>32400</v>
      </c>
      <c r="W131" s="39"/>
      <c r="X131" s="39"/>
      <c r="Y131" s="39"/>
      <c r="Z131" s="60" t="s">
        <v>116</v>
      </c>
      <c r="AA131" s="60" t="s">
        <v>116</v>
      </c>
      <c r="AB131" s="60" t="s">
        <v>116</v>
      </c>
      <c r="AC131" s="60" t="s">
        <v>116</v>
      </c>
      <c r="AD131" s="60" t="s">
        <v>116</v>
      </c>
      <c r="AE131" s="60" t="s">
        <v>116</v>
      </c>
      <c r="AF131" s="60" t="s">
        <v>116</v>
      </c>
      <c r="AG131" s="60" t="s">
        <v>116</v>
      </c>
      <c r="AH131" s="60" t="s">
        <v>116</v>
      </c>
      <c r="AI131" s="60"/>
      <c r="AJ131" s="60" t="s">
        <v>128</v>
      </c>
      <c r="AK131" s="37" t="s">
        <v>117</v>
      </c>
      <c r="AL131" s="37" t="s">
        <v>151</v>
      </c>
      <c r="AM131" s="37" t="s">
        <v>148</v>
      </c>
      <c r="AN131" s="44" t="s">
        <v>145</v>
      </c>
      <c r="AO131" s="70" t="e">
        <f t="shared" si="40"/>
        <v>#VALUE!</v>
      </c>
      <c r="AP131" s="39" t="s">
        <v>152</v>
      </c>
      <c r="AQ131" s="37" t="s">
        <v>153</v>
      </c>
      <c r="AR131" s="37"/>
      <c r="AS131" s="37" t="s">
        <v>154</v>
      </c>
      <c r="AT131" s="37"/>
      <c r="AU131" s="37" t="s">
        <v>134</v>
      </c>
      <c r="AV131" s="40" t="s">
        <v>117</v>
      </c>
      <c r="AW131" s="38" t="s">
        <v>128</v>
      </c>
      <c r="AX131" s="40" t="e">
        <f>E131*AW131</f>
        <v>#VALUE!</v>
      </c>
      <c r="AY131" s="41" t="str">
        <f t="shared" si="64"/>
        <v>210-220</v>
      </c>
      <c r="AZ131" s="75"/>
      <c r="BA131" s="143"/>
      <c r="BB131" s="143"/>
      <c r="BC131" s="155"/>
      <c r="BD131" s="155"/>
    </row>
    <row r="132" spans="1:56">
      <c r="A132" s="39" t="s">
        <v>186</v>
      </c>
      <c r="B132" s="45" t="s">
        <v>95</v>
      </c>
      <c r="C132" s="45" t="s">
        <v>149</v>
      </c>
      <c r="D132" s="39" t="e">
        <f t="shared" si="66"/>
        <v>#VALUE!</v>
      </c>
      <c r="E132" s="64">
        <f t="shared" si="67"/>
        <v>2345600</v>
      </c>
      <c r="F132" s="179">
        <f t="shared" si="39"/>
        <v>0.596862210095498</v>
      </c>
      <c r="G132" s="39">
        <v>1400000</v>
      </c>
      <c r="H132" s="39">
        <v>600000</v>
      </c>
      <c r="I132" s="45">
        <f t="shared" si="61"/>
        <v>313200</v>
      </c>
      <c r="J132" s="39"/>
      <c r="K132" s="39">
        <f>200000*1.08</f>
        <v>216000</v>
      </c>
      <c r="L132" s="39"/>
      <c r="M132" s="39"/>
      <c r="N132" s="39"/>
      <c r="O132" s="39"/>
      <c r="P132" s="39"/>
      <c r="Q132" s="39"/>
      <c r="R132" s="39">
        <f>1.08*90000</f>
        <v>97200</v>
      </c>
      <c r="S132" s="65">
        <f t="shared" si="65"/>
        <v>32400</v>
      </c>
      <c r="T132" s="67"/>
      <c r="U132" s="67"/>
      <c r="V132" s="39">
        <v>32400</v>
      </c>
      <c r="W132" s="39"/>
      <c r="X132" s="39"/>
      <c r="Y132" s="39"/>
      <c r="Z132" s="60" t="s">
        <v>116</v>
      </c>
      <c r="AA132" s="60" t="s">
        <v>116</v>
      </c>
      <c r="AB132" s="60" t="s">
        <v>116</v>
      </c>
      <c r="AC132" s="60" t="s">
        <v>116</v>
      </c>
      <c r="AD132" s="60" t="s">
        <v>116</v>
      </c>
      <c r="AE132" s="60" t="s">
        <v>116</v>
      </c>
      <c r="AF132" s="60" t="s">
        <v>116</v>
      </c>
      <c r="AG132" s="60" t="s">
        <v>116</v>
      </c>
      <c r="AH132" s="60" t="s">
        <v>116</v>
      </c>
      <c r="AI132" s="60"/>
      <c r="AJ132" s="60" t="s">
        <v>128</v>
      </c>
      <c r="AK132" s="37" t="s">
        <v>117</v>
      </c>
      <c r="AL132" s="37" t="s">
        <v>151</v>
      </c>
      <c r="AM132" s="37" t="s">
        <v>148</v>
      </c>
      <c r="AN132" s="44" t="s">
        <v>145</v>
      </c>
      <c r="AO132" s="70" t="e">
        <f t="shared" si="40"/>
        <v>#VALUE!</v>
      </c>
      <c r="AP132" s="39" t="s">
        <v>152</v>
      </c>
      <c r="AQ132" s="37" t="s">
        <v>153</v>
      </c>
      <c r="AR132" s="37"/>
      <c r="AS132" s="37" t="s">
        <v>154</v>
      </c>
      <c r="AT132" s="37"/>
      <c r="AU132" s="37" t="s">
        <v>134</v>
      </c>
      <c r="AV132" s="40" t="s">
        <v>117</v>
      </c>
      <c r="AW132" s="38" t="s">
        <v>128</v>
      </c>
      <c r="AX132" s="40" t="e">
        <f>E132*AW132</f>
        <v>#VALUE!</v>
      </c>
      <c r="AY132" s="41" t="str">
        <f t="shared" si="64"/>
        <v>210-220</v>
      </c>
      <c r="AZ132" s="75"/>
      <c r="BA132" s="143"/>
      <c r="BB132" s="143"/>
      <c r="BC132" s="155"/>
      <c r="BD132" s="155"/>
    </row>
    <row r="133" spans="1:56">
      <c r="A133" s="39" t="s">
        <v>186</v>
      </c>
      <c r="B133" s="45" t="s">
        <v>95</v>
      </c>
      <c r="C133" s="45" t="s">
        <v>168</v>
      </c>
      <c r="D133" s="39" t="e">
        <f t="shared" si="66"/>
        <v>#VALUE!</v>
      </c>
      <c r="E133" s="64">
        <f t="shared" si="67"/>
        <v>580440</v>
      </c>
      <c r="F133" s="179">
        <f t="shared" si="39"/>
        <v>0.82695885879677489</v>
      </c>
      <c r="G133" s="39">
        <v>480000</v>
      </c>
      <c r="H133" s="39">
        <v>0</v>
      </c>
      <c r="I133" s="45">
        <f t="shared" si="61"/>
        <v>54000</v>
      </c>
      <c r="J133" s="45">
        <v>32400</v>
      </c>
      <c r="K133" s="45"/>
      <c r="L133" s="45"/>
      <c r="M133" s="45"/>
      <c r="N133" s="45"/>
      <c r="O133" s="45"/>
      <c r="P133" s="45"/>
      <c r="Q133" s="45"/>
      <c r="R133" s="69">
        <f t="shared" ref="R133:R138" si="69">$BJ$8*AL133*1.08</f>
        <v>21600</v>
      </c>
      <c r="S133" s="65">
        <f t="shared" si="65"/>
        <v>46440</v>
      </c>
      <c r="T133" s="67">
        <f t="shared" ref="T133:T138" si="70">13000*1.08</f>
        <v>14040.000000000002</v>
      </c>
      <c r="U133" s="67"/>
      <c r="V133" s="45">
        <v>32400</v>
      </c>
      <c r="W133" s="45"/>
      <c r="X133" s="45"/>
      <c r="Y133" s="45"/>
      <c r="Z133" s="61" t="s">
        <v>128</v>
      </c>
      <c r="AA133" s="61" t="s">
        <v>128</v>
      </c>
      <c r="AB133" s="61" t="s">
        <v>128</v>
      </c>
      <c r="AC133" s="61" t="s">
        <v>128</v>
      </c>
      <c r="AD133" s="61" t="s">
        <v>128</v>
      </c>
      <c r="AE133" s="61" t="s">
        <v>128</v>
      </c>
      <c r="AF133" s="61" t="s">
        <v>128</v>
      </c>
      <c r="AG133" s="61" t="s">
        <v>128</v>
      </c>
      <c r="AH133" s="61" t="s">
        <v>128</v>
      </c>
      <c r="AI133" s="61"/>
      <c r="AJ133" s="61" t="s">
        <v>129</v>
      </c>
      <c r="AK133" s="44">
        <f t="shared" ref="AK133:AK138" si="71">15*15</f>
        <v>225</v>
      </c>
      <c r="AL133" s="37">
        <v>1</v>
      </c>
      <c r="AM133" s="44">
        <v>13</v>
      </c>
      <c r="AN133" s="44" t="s">
        <v>145</v>
      </c>
      <c r="AO133" s="70">
        <f t="shared" si="40"/>
        <v>68104959.999999985</v>
      </c>
      <c r="AP133" s="39"/>
      <c r="AQ133" s="37"/>
      <c r="AR133" s="44" t="s">
        <v>83</v>
      </c>
      <c r="AS133" s="44" t="s">
        <v>132</v>
      </c>
      <c r="AT133" s="44" t="s">
        <v>146</v>
      </c>
      <c r="AU133" s="37" t="s">
        <v>134</v>
      </c>
      <c r="AV133" s="40" t="s">
        <v>117</v>
      </c>
      <c r="AW133" s="38" t="s">
        <v>128</v>
      </c>
      <c r="AX133" s="40" t="e">
        <f t="shared" ref="AX133:AX140" si="72">AW133*E133</f>
        <v>#VALUE!</v>
      </c>
      <c r="AY133" s="41" t="str">
        <f t="shared" si="64"/>
        <v>50-60</v>
      </c>
      <c r="AZ133" s="75"/>
      <c r="BA133" s="35"/>
      <c r="BB133" s="35"/>
      <c r="BC133" s="49"/>
      <c r="BD133" s="49"/>
    </row>
    <row r="134" spans="1:56">
      <c r="A134" s="39" t="s">
        <v>186</v>
      </c>
      <c r="B134" s="45" t="s">
        <v>95</v>
      </c>
      <c r="C134" s="45" t="s">
        <v>168</v>
      </c>
      <c r="D134" s="39" t="e">
        <f t="shared" si="66"/>
        <v>#VALUE!</v>
      </c>
      <c r="E134" s="64">
        <f t="shared" si="67"/>
        <v>700440</v>
      </c>
      <c r="F134" s="179">
        <f t="shared" si="39"/>
        <v>0.85660442007880766</v>
      </c>
      <c r="G134" s="39">
        <v>600000</v>
      </c>
      <c r="H134" s="39">
        <v>0</v>
      </c>
      <c r="I134" s="45">
        <f t="shared" ref="I134:I155" si="73">SUM(J134:R134)</f>
        <v>54000</v>
      </c>
      <c r="J134" s="45">
        <v>32400</v>
      </c>
      <c r="K134" s="45"/>
      <c r="L134" s="45"/>
      <c r="M134" s="45"/>
      <c r="N134" s="45"/>
      <c r="O134" s="45"/>
      <c r="P134" s="45"/>
      <c r="Q134" s="45"/>
      <c r="R134" s="69">
        <f t="shared" si="69"/>
        <v>21600</v>
      </c>
      <c r="S134" s="65">
        <f t="shared" si="65"/>
        <v>46440</v>
      </c>
      <c r="T134" s="67">
        <f t="shared" si="70"/>
        <v>14040.000000000002</v>
      </c>
      <c r="U134" s="67"/>
      <c r="V134" s="45">
        <v>32400</v>
      </c>
      <c r="W134" s="45"/>
      <c r="X134" s="45"/>
      <c r="Y134" s="45"/>
      <c r="Z134" s="61" t="s">
        <v>128</v>
      </c>
      <c r="AA134" s="61" t="s">
        <v>128</v>
      </c>
      <c r="AB134" s="61" t="s">
        <v>128</v>
      </c>
      <c r="AC134" s="61" t="s">
        <v>128</v>
      </c>
      <c r="AD134" s="61" t="s">
        <v>128</v>
      </c>
      <c r="AE134" s="61" t="s">
        <v>128</v>
      </c>
      <c r="AF134" s="61" t="s">
        <v>128</v>
      </c>
      <c r="AG134" s="61" t="s">
        <v>128</v>
      </c>
      <c r="AH134" s="61" t="s">
        <v>128</v>
      </c>
      <c r="AI134" s="61"/>
      <c r="AJ134" s="61" t="s">
        <v>129</v>
      </c>
      <c r="AK134" s="44">
        <f t="shared" si="71"/>
        <v>225</v>
      </c>
      <c r="AL134" s="37">
        <v>1</v>
      </c>
      <c r="AM134" s="37">
        <v>33</v>
      </c>
      <c r="AN134" s="44" t="s">
        <v>145</v>
      </c>
      <c r="AO134" s="70">
        <f t="shared" si="40"/>
        <v>82184959.999999985</v>
      </c>
      <c r="AP134" s="39"/>
      <c r="AQ134" s="37"/>
      <c r="AR134" s="44" t="s">
        <v>83</v>
      </c>
      <c r="AS134" s="44" t="s">
        <v>132</v>
      </c>
      <c r="AT134" s="44" t="s">
        <v>146</v>
      </c>
      <c r="AU134" s="37" t="s">
        <v>134</v>
      </c>
      <c r="AV134" s="40" t="s">
        <v>117</v>
      </c>
      <c r="AW134" s="38" t="s">
        <v>128</v>
      </c>
      <c r="AX134" s="40" t="e">
        <f t="shared" si="72"/>
        <v>#VALUE!</v>
      </c>
      <c r="AY134" s="41" t="str">
        <f t="shared" ref="AY134:AY155" si="74">VLOOKUP(E134,$BC$6:$BD$28,2)</f>
        <v>70-80</v>
      </c>
      <c r="AZ134" s="75"/>
      <c r="BA134" s="35"/>
      <c r="BB134" s="35"/>
      <c r="BC134" s="49"/>
      <c r="BD134" s="49"/>
    </row>
    <row r="135" spans="1:56">
      <c r="A135" s="39" t="s">
        <v>186</v>
      </c>
      <c r="B135" s="45" t="s">
        <v>95</v>
      </c>
      <c r="C135" s="45" t="s">
        <v>168</v>
      </c>
      <c r="D135" s="39" t="e">
        <f t="shared" si="66"/>
        <v>#VALUE!</v>
      </c>
      <c r="E135" s="64">
        <f t="shared" si="67"/>
        <v>900440</v>
      </c>
      <c r="F135" s="179">
        <f t="shared" ref="F135:F155" si="75">G135/E135</f>
        <v>0.88845453333925639</v>
      </c>
      <c r="G135" s="39">
        <v>800000</v>
      </c>
      <c r="H135" s="39">
        <v>0</v>
      </c>
      <c r="I135" s="45">
        <f t="shared" si="73"/>
        <v>54000</v>
      </c>
      <c r="J135" s="45">
        <v>32400</v>
      </c>
      <c r="K135" s="45"/>
      <c r="L135" s="45"/>
      <c r="M135" s="45"/>
      <c r="N135" s="45"/>
      <c r="O135" s="45"/>
      <c r="P135" s="45"/>
      <c r="Q135" s="45"/>
      <c r="R135" s="69">
        <f t="shared" si="69"/>
        <v>21600</v>
      </c>
      <c r="S135" s="65">
        <f t="shared" si="65"/>
        <v>46440</v>
      </c>
      <c r="T135" s="67">
        <f t="shared" si="70"/>
        <v>14040.000000000002</v>
      </c>
      <c r="U135" s="67"/>
      <c r="V135" s="45">
        <v>32400</v>
      </c>
      <c r="W135" s="45"/>
      <c r="X135" s="45"/>
      <c r="Y135" s="45"/>
      <c r="Z135" s="61" t="s">
        <v>128</v>
      </c>
      <c r="AA135" s="61" t="s">
        <v>128</v>
      </c>
      <c r="AB135" s="61" t="s">
        <v>128</v>
      </c>
      <c r="AC135" s="61" t="s">
        <v>128</v>
      </c>
      <c r="AD135" s="61" t="s">
        <v>128</v>
      </c>
      <c r="AE135" s="61" t="s">
        <v>128</v>
      </c>
      <c r="AF135" s="61" t="s">
        <v>128</v>
      </c>
      <c r="AG135" s="61" t="s">
        <v>128</v>
      </c>
      <c r="AH135" s="61" t="s">
        <v>128</v>
      </c>
      <c r="AI135" s="61"/>
      <c r="AJ135" s="61" t="s">
        <v>129</v>
      </c>
      <c r="AK135" s="44">
        <f t="shared" si="71"/>
        <v>225</v>
      </c>
      <c r="AL135" s="37">
        <v>1</v>
      </c>
      <c r="AM135" s="37" t="s">
        <v>148</v>
      </c>
      <c r="AN135" s="44" t="s">
        <v>145</v>
      </c>
      <c r="AO135" s="70">
        <f t="shared" ref="AO135:AO155" si="76">$AO$2*E135*$AO$4/AK135/$AO$3</f>
        <v>105651626.66666667</v>
      </c>
      <c r="AP135" s="39"/>
      <c r="AQ135" s="37"/>
      <c r="AR135" s="44" t="s">
        <v>83</v>
      </c>
      <c r="AS135" s="44" t="s">
        <v>132</v>
      </c>
      <c r="AT135" s="44" t="s">
        <v>146</v>
      </c>
      <c r="AU135" s="37" t="s">
        <v>134</v>
      </c>
      <c r="AV135" s="40" t="s">
        <v>117</v>
      </c>
      <c r="AW135" s="38" t="s">
        <v>128</v>
      </c>
      <c r="AX135" s="40" t="e">
        <f t="shared" si="72"/>
        <v>#VALUE!</v>
      </c>
      <c r="AY135" s="41" t="str">
        <f t="shared" si="74"/>
        <v>70-80</v>
      </c>
      <c r="AZ135" s="75"/>
      <c r="BA135" s="35"/>
      <c r="BB135" s="35"/>
      <c r="BC135" s="49"/>
      <c r="BD135" s="49"/>
    </row>
    <row r="136" spans="1:56">
      <c r="A136" s="39" t="s">
        <v>186</v>
      </c>
      <c r="B136" s="45" t="s">
        <v>95</v>
      </c>
      <c r="C136" s="45" t="s">
        <v>168</v>
      </c>
      <c r="D136" s="39" t="e">
        <f t="shared" si="66"/>
        <v>#VALUE!</v>
      </c>
      <c r="E136" s="64">
        <f t="shared" si="67"/>
        <v>480440</v>
      </c>
      <c r="F136" s="179">
        <f t="shared" si="75"/>
        <v>0.79094163683290319</v>
      </c>
      <c r="G136" s="39">
        <v>380000</v>
      </c>
      <c r="H136" s="39">
        <v>0</v>
      </c>
      <c r="I136" s="45">
        <f t="shared" si="73"/>
        <v>54000</v>
      </c>
      <c r="J136" s="45">
        <v>32400</v>
      </c>
      <c r="K136" s="45"/>
      <c r="L136" s="45"/>
      <c r="M136" s="45"/>
      <c r="N136" s="45"/>
      <c r="O136" s="45"/>
      <c r="P136" s="45"/>
      <c r="Q136" s="45"/>
      <c r="R136" s="69">
        <f t="shared" si="69"/>
        <v>21600</v>
      </c>
      <c r="S136" s="65">
        <f t="shared" si="65"/>
        <v>46440</v>
      </c>
      <c r="T136" s="67">
        <f t="shared" si="70"/>
        <v>14040.000000000002</v>
      </c>
      <c r="U136" s="67"/>
      <c r="V136" s="45">
        <v>32400</v>
      </c>
      <c r="W136" s="45"/>
      <c r="X136" s="45"/>
      <c r="Y136" s="45"/>
      <c r="Z136" s="61" t="s">
        <v>128</v>
      </c>
      <c r="AA136" s="61" t="s">
        <v>128</v>
      </c>
      <c r="AB136" s="61" t="s">
        <v>128</v>
      </c>
      <c r="AC136" s="61" t="s">
        <v>128</v>
      </c>
      <c r="AD136" s="61" t="s">
        <v>128</v>
      </c>
      <c r="AE136" s="61" t="s">
        <v>128</v>
      </c>
      <c r="AF136" s="61" t="s">
        <v>128</v>
      </c>
      <c r="AG136" s="61" t="s">
        <v>128</v>
      </c>
      <c r="AH136" s="61" t="s">
        <v>128</v>
      </c>
      <c r="AI136" s="61"/>
      <c r="AJ136" s="61" t="s">
        <v>129</v>
      </c>
      <c r="AK136" s="44">
        <f t="shared" si="71"/>
        <v>225</v>
      </c>
      <c r="AL136" s="37">
        <v>1</v>
      </c>
      <c r="AM136" s="44">
        <v>13</v>
      </c>
      <c r="AN136" s="44" t="s">
        <v>145</v>
      </c>
      <c r="AO136" s="70">
        <f t="shared" si="76"/>
        <v>56371626.666666657</v>
      </c>
      <c r="AP136" s="39"/>
      <c r="AQ136" s="37"/>
      <c r="AR136" s="44" t="s">
        <v>83</v>
      </c>
      <c r="AS136" s="44" t="s">
        <v>132</v>
      </c>
      <c r="AT136" s="44" t="s">
        <v>146</v>
      </c>
      <c r="AU136" s="37" t="s">
        <v>134</v>
      </c>
      <c r="AV136" s="40" t="s">
        <v>117</v>
      </c>
      <c r="AW136" s="38" t="s">
        <v>128</v>
      </c>
      <c r="AX136" s="40" t="e">
        <f t="shared" si="72"/>
        <v>#VALUE!</v>
      </c>
      <c r="AY136" s="41" t="str">
        <f t="shared" si="74"/>
        <v>40-50</v>
      </c>
      <c r="AZ136" s="75"/>
      <c r="BA136" s="35"/>
      <c r="BB136" s="35"/>
      <c r="BC136" s="49"/>
      <c r="BD136" s="49"/>
    </row>
    <row r="137" spans="1:56">
      <c r="A137" s="39" t="s">
        <v>186</v>
      </c>
      <c r="B137" s="45" t="s">
        <v>95</v>
      </c>
      <c r="C137" s="45" t="s">
        <v>168</v>
      </c>
      <c r="D137" s="39" t="e">
        <f t="shared" si="66"/>
        <v>#VALUE!</v>
      </c>
      <c r="E137" s="64">
        <f t="shared" si="67"/>
        <v>580440</v>
      </c>
      <c r="F137" s="179">
        <f t="shared" si="75"/>
        <v>0.82695885879677489</v>
      </c>
      <c r="G137" s="39">
        <v>480000</v>
      </c>
      <c r="H137" s="39">
        <v>0</v>
      </c>
      <c r="I137" s="45">
        <f t="shared" si="73"/>
        <v>54000</v>
      </c>
      <c r="J137" s="45">
        <v>32400</v>
      </c>
      <c r="K137" s="45"/>
      <c r="L137" s="45"/>
      <c r="M137" s="45"/>
      <c r="N137" s="45"/>
      <c r="O137" s="45"/>
      <c r="P137" s="45"/>
      <c r="Q137" s="45"/>
      <c r="R137" s="69">
        <f t="shared" si="69"/>
        <v>21600</v>
      </c>
      <c r="S137" s="65">
        <f t="shared" si="65"/>
        <v>46440</v>
      </c>
      <c r="T137" s="67">
        <f t="shared" si="70"/>
        <v>14040.000000000002</v>
      </c>
      <c r="U137" s="67"/>
      <c r="V137" s="45">
        <v>32400</v>
      </c>
      <c r="W137" s="45"/>
      <c r="X137" s="45"/>
      <c r="Y137" s="45"/>
      <c r="Z137" s="61" t="s">
        <v>128</v>
      </c>
      <c r="AA137" s="61" t="s">
        <v>128</v>
      </c>
      <c r="AB137" s="61" t="s">
        <v>128</v>
      </c>
      <c r="AC137" s="61" t="s">
        <v>128</v>
      </c>
      <c r="AD137" s="61" t="s">
        <v>128</v>
      </c>
      <c r="AE137" s="61" t="s">
        <v>128</v>
      </c>
      <c r="AF137" s="61" t="s">
        <v>128</v>
      </c>
      <c r="AG137" s="61" t="s">
        <v>128</v>
      </c>
      <c r="AH137" s="61" t="s">
        <v>128</v>
      </c>
      <c r="AI137" s="61"/>
      <c r="AJ137" s="61" t="s">
        <v>129</v>
      </c>
      <c r="AK137" s="44">
        <f t="shared" si="71"/>
        <v>225</v>
      </c>
      <c r="AL137" s="37">
        <v>1</v>
      </c>
      <c r="AM137" s="37">
        <v>33</v>
      </c>
      <c r="AN137" s="44" t="s">
        <v>145</v>
      </c>
      <c r="AO137" s="70">
        <f t="shared" si="76"/>
        <v>68104959.999999985</v>
      </c>
      <c r="AP137" s="39"/>
      <c r="AQ137" s="37"/>
      <c r="AR137" s="44" t="s">
        <v>83</v>
      </c>
      <c r="AS137" s="44" t="s">
        <v>132</v>
      </c>
      <c r="AT137" s="44" t="s">
        <v>146</v>
      </c>
      <c r="AU137" s="37" t="s">
        <v>134</v>
      </c>
      <c r="AV137" s="40" t="s">
        <v>117</v>
      </c>
      <c r="AW137" s="38" t="s">
        <v>128</v>
      </c>
      <c r="AX137" s="40" t="e">
        <f t="shared" si="72"/>
        <v>#VALUE!</v>
      </c>
      <c r="AY137" s="41" t="str">
        <f t="shared" si="74"/>
        <v>50-60</v>
      </c>
      <c r="AZ137" s="75"/>
      <c r="BA137" s="35"/>
      <c r="BB137" s="35"/>
      <c r="BC137" s="49"/>
      <c r="BD137" s="49"/>
    </row>
    <row r="138" spans="1:56">
      <c r="A138" s="39" t="s">
        <v>186</v>
      </c>
      <c r="B138" s="45" t="s">
        <v>95</v>
      </c>
      <c r="C138" s="45" t="s">
        <v>168</v>
      </c>
      <c r="D138" s="39" t="e">
        <f t="shared" si="66"/>
        <v>#VALUE!</v>
      </c>
      <c r="E138" s="64">
        <f t="shared" si="67"/>
        <v>780440</v>
      </c>
      <c r="F138" s="179">
        <f t="shared" si="75"/>
        <v>0.87130336733124902</v>
      </c>
      <c r="G138" s="39">
        <v>680000</v>
      </c>
      <c r="H138" s="39">
        <v>0</v>
      </c>
      <c r="I138" s="45">
        <f t="shared" si="73"/>
        <v>54000</v>
      </c>
      <c r="J138" s="45">
        <v>32400</v>
      </c>
      <c r="K138" s="45"/>
      <c r="L138" s="45"/>
      <c r="M138" s="45"/>
      <c r="N138" s="45"/>
      <c r="O138" s="45"/>
      <c r="P138" s="45"/>
      <c r="Q138" s="45"/>
      <c r="R138" s="69">
        <f t="shared" si="69"/>
        <v>21600</v>
      </c>
      <c r="S138" s="65">
        <f t="shared" si="65"/>
        <v>46440</v>
      </c>
      <c r="T138" s="67">
        <f t="shared" si="70"/>
        <v>14040.000000000002</v>
      </c>
      <c r="U138" s="67"/>
      <c r="V138" s="45">
        <v>32400</v>
      </c>
      <c r="W138" s="45"/>
      <c r="X138" s="45"/>
      <c r="Y138" s="45"/>
      <c r="Z138" s="61" t="s">
        <v>128</v>
      </c>
      <c r="AA138" s="61" t="s">
        <v>128</v>
      </c>
      <c r="AB138" s="61" t="s">
        <v>128</v>
      </c>
      <c r="AC138" s="61" t="s">
        <v>128</v>
      </c>
      <c r="AD138" s="61" t="s">
        <v>128</v>
      </c>
      <c r="AE138" s="61" t="s">
        <v>128</v>
      </c>
      <c r="AF138" s="61" t="s">
        <v>128</v>
      </c>
      <c r="AG138" s="61" t="s">
        <v>128</v>
      </c>
      <c r="AH138" s="61" t="s">
        <v>128</v>
      </c>
      <c r="AI138" s="61"/>
      <c r="AJ138" s="61" t="s">
        <v>129</v>
      </c>
      <c r="AK138" s="44">
        <f t="shared" si="71"/>
        <v>225</v>
      </c>
      <c r="AL138" s="37">
        <v>1</v>
      </c>
      <c r="AM138" s="37" t="s">
        <v>148</v>
      </c>
      <c r="AN138" s="44" t="s">
        <v>145</v>
      </c>
      <c r="AO138" s="70">
        <f t="shared" si="76"/>
        <v>91571626.666666642</v>
      </c>
      <c r="AP138" s="39"/>
      <c r="AQ138" s="37"/>
      <c r="AR138" s="44" t="s">
        <v>83</v>
      </c>
      <c r="AS138" s="44" t="s">
        <v>132</v>
      </c>
      <c r="AT138" s="44" t="s">
        <v>146</v>
      </c>
      <c r="AU138" s="37" t="s">
        <v>134</v>
      </c>
      <c r="AV138" s="40" t="s">
        <v>117</v>
      </c>
      <c r="AW138" s="38" t="s">
        <v>128</v>
      </c>
      <c r="AX138" s="40" t="e">
        <f t="shared" si="72"/>
        <v>#VALUE!</v>
      </c>
      <c r="AY138" s="41" t="str">
        <f t="shared" si="74"/>
        <v>70-80</v>
      </c>
      <c r="AZ138" s="75"/>
      <c r="BA138" s="35"/>
      <c r="BB138" s="35"/>
      <c r="BC138" s="49"/>
      <c r="BD138" s="49"/>
    </row>
    <row r="139" spans="1:56" ht="60">
      <c r="A139" s="39" t="s">
        <v>186</v>
      </c>
      <c r="B139" s="39" t="s">
        <v>170</v>
      </c>
      <c r="C139" s="39" t="s">
        <v>169</v>
      </c>
      <c r="D139" s="39" t="e">
        <f t="shared" si="66"/>
        <v>#VALUE!</v>
      </c>
      <c r="E139" s="64">
        <f t="shared" si="67"/>
        <v>306000</v>
      </c>
      <c r="F139" s="179">
        <f t="shared" si="75"/>
        <v>0.6470588235294118</v>
      </c>
      <c r="G139" s="39">
        <v>198000</v>
      </c>
      <c r="H139" s="39">
        <v>0</v>
      </c>
      <c r="I139" s="45">
        <f t="shared" si="73"/>
        <v>108000</v>
      </c>
      <c r="J139" s="45">
        <v>108000</v>
      </c>
      <c r="K139" s="45"/>
      <c r="L139" s="45"/>
      <c r="M139" s="45"/>
      <c r="N139" s="45"/>
      <c r="O139" s="45"/>
      <c r="P139" s="45"/>
      <c r="Q139" s="45"/>
      <c r="R139" s="69">
        <v>0</v>
      </c>
      <c r="S139" s="65">
        <f t="shared" si="65"/>
        <v>0</v>
      </c>
      <c r="T139" s="67">
        <v>0</v>
      </c>
      <c r="U139" s="67"/>
      <c r="V139" s="45">
        <v>0</v>
      </c>
      <c r="W139" s="45"/>
      <c r="X139" s="45"/>
      <c r="Y139" s="45"/>
      <c r="Z139" s="59">
        <f>AA139+AC139</f>
        <v>0</v>
      </c>
      <c r="AA139" s="61">
        <v>0</v>
      </c>
      <c r="AB139" s="61">
        <v>0</v>
      </c>
      <c r="AC139" s="61">
        <v>0</v>
      </c>
      <c r="AD139" s="61">
        <v>0</v>
      </c>
      <c r="AE139" s="61">
        <v>0</v>
      </c>
      <c r="AF139" s="61" t="s">
        <v>128</v>
      </c>
      <c r="AG139" s="61" t="s">
        <v>128</v>
      </c>
      <c r="AH139" s="61" t="s">
        <v>128</v>
      </c>
      <c r="AI139" s="72"/>
      <c r="AJ139" s="59" t="s">
        <v>171</v>
      </c>
      <c r="AK139" s="66" t="s">
        <v>144</v>
      </c>
      <c r="AL139" s="37">
        <v>1</v>
      </c>
      <c r="AM139" s="37" t="s">
        <v>148</v>
      </c>
      <c r="AN139" s="44" t="s">
        <v>145</v>
      </c>
      <c r="AO139" s="70" t="e">
        <f t="shared" si="76"/>
        <v>#VALUE!</v>
      </c>
      <c r="AP139" s="39"/>
      <c r="AQ139" s="37"/>
      <c r="AR139" s="44" t="s">
        <v>83</v>
      </c>
      <c r="AS139" s="44" t="s">
        <v>132</v>
      </c>
      <c r="AT139" s="44">
        <v>0</v>
      </c>
      <c r="AU139" s="37" t="s">
        <v>111</v>
      </c>
      <c r="AV139" s="40" t="s">
        <v>172</v>
      </c>
      <c r="AW139" s="38" t="s">
        <v>171</v>
      </c>
      <c r="AX139" s="40" t="e">
        <f t="shared" si="72"/>
        <v>#VALUE!</v>
      </c>
      <c r="AY139" s="41" t="str">
        <f t="shared" si="74"/>
        <v>30-40</v>
      </c>
      <c r="AZ139" s="75" t="s">
        <v>173</v>
      </c>
      <c r="BA139" s="35"/>
      <c r="BB139" s="35"/>
      <c r="BC139" s="49"/>
      <c r="BD139" s="49"/>
    </row>
    <row r="140" spans="1:56">
      <c r="A140" s="39" t="s">
        <v>186</v>
      </c>
      <c r="B140" s="39" t="s">
        <v>170</v>
      </c>
      <c r="C140" s="39" t="s">
        <v>169</v>
      </c>
      <c r="D140" s="39" t="e">
        <f t="shared" si="66"/>
        <v>#VALUE!</v>
      </c>
      <c r="E140" s="64">
        <f t="shared" si="67"/>
        <v>558400</v>
      </c>
      <c r="F140" s="179">
        <f t="shared" si="75"/>
        <v>0.74856733524355301</v>
      </c>
      <c r="G140" s="39">
        <v>418000</v>
      </c>
      <c r="H140" s="39">
        <v>0</v>
      </c>
      <c r="I140" s="45">
        <f t="shared" si="73"/>
        <v>140400</v>
      </c>
      <c r="J140" s="45">
        <f>130000*1.08</f>
        <v>140400</v>
      </c>
      <c r="K140" s="45"/>
      <c r="L140" s="45"/>
      <c r="M140" s="45"/>
      <c r="N140" s="45"/>
      <c r="O140" s="45"/>
      <c r="P140" s="45"/>
      <c r="Q140" s="45"/>
      <c r="R140" s="69">
        <v>0</v>
      </c>
      <c r="S140" s="65">
        <f t="shared" si="65"/>
        <v>0</v>
      </c>
      <c r="T140" s="67">
        <v>0</v>
      </c>
      <c r="U140" s="67"/>
      <c r="V140" s="45">
        <v>0</v>
      </c>
      <c r="W140" s="45"/>
      <c r="X140" s="45"/>
      <c r="Y140" s="45"/>
      <c r="Z140" s="59">
        <f>AA140+AC140</f>
        <v>0</v>
      </c>
      <c r="AA140" s="61">
        <v>0</v>
      </c>
      <c r="AB140" s="61">
        <v>0</v>
      </c>
      <c r="AC140" s="61">
        <v>0</v>
      </c>
      <c r="AD140" s="61">
        <v>0</v>
      </c>
      <c r="AE140" s="61">
        <v>0</v>
      </c>
      <c r="AF140" s="61" t="s">
        <v>128</v>
      </c>
      <c r="AG140" s="61" t="s">
        <v>128</v>
      </c>
      <c r="AH140" s="61" t="s">
        <v>128</v>
      </c>
      <c r="AI140" s="72"/>
      <c r="AJ140" s="59" t="s">
        <v>130</v>
      </c>
      <c r="AK140" s="66">
        <f>24*24</f>
        <v>576</v>
      </c>
      <c r="AL140" s="37">
        <v>1</v>
      </c>
      <c r="AM140" s="37" t="s">
        <v>117</v>
      </c>
      <c r="AN140" s="44" t="s">
        <v>128</v>
      </c>
      <c r="AO140" s="70">
        <f t="shared" si="76"/>
        <v>25593333.333333332</v>
      </c>
      <c r="AP140" s="39" t="s">
        <v>118</v>
      </c>
      <c r="AQ140" s="38" t="s">
        <v>109</v>
      </c>
      <c r="AR140" s="38" t="s">
        <v>83</v>
      </c>
      <c r="AS140" s="38" t="s">
        <v>83</v>
      </c>
      <c r="AT140" s="38" t="s">
        <v>83</v>
      </c>
      <c r="AU140" s="37" t="s">
        <v>111</v>
      </c>
      <c r="AV140" s="40">
        <v>70</v>
      </c>
      <c r="AW140" s="38">
        <v>60</v>
      </c>
      <c r="AX140" s="40">
        <f t="shared" si="72"/>
        <v>33504000</v>
      </c>
      <c r="AY140" s="41" t="str">
        <f t="shared" si="74"/>
        <v>50-60</v>
      </c>
      <c r="AZ140" s="75"/>
      <c r="BA140" s="35"/>
      <c r="BB140" s="35"/>
      <c r="BC140" s="49"/>
      <c r="BD140" s="49"/>
    </row>
    <row r="141" spans="1:56">
      <c r="A141" s="39" t="s">
        <v>186</v>
      </c>
      <c r="B141" s="39" t="s">
        <v>170</v>
      </c>
      <c r="C141" s="39" t="s">
        <v>169</v>
      </c>
      <c r="D141" s="39" t="e">
        <f t="shared" si="66"/>
        <v>#VALUE!</v>
      </c>
      <c r="E141" s="64">
        <f t="shared" si="67"/>
        <v>888400</v>
      </c>
      <c r="F141" s="179">
        <f t="shared" si="75"/>
        <v>0.84196307969383166</v>
      </c>
      <c r="G141" s="39">
        <v>748000</v>
      </c>
      <c r="H141" s="39">
        <v>0</v>
      </c>
      <c r="I141" s="45">
        <f t="shared" si="73"/>
        <v>140400</v>
      </c>
      <c r="J141" s="45">
        <f>130000*1.08</f>
        <v>140400</v>
      </c>
      <c r="K141" s="45"/>
      <c r="L141" s="45"/>
      <c r="M141" s="45"/>
      <c r="N141" s="45"/>
      <c r="O141" s="45"/>
      <c r="P141" s="45"/>
      <c r="Q141" s="45"/>
      <c r="R141" s="69">
        <v>0</v>
      </c>
      <c r="S141" s="65">
        <f t="shared" si="65"/>
        <v>0</v>
      </c>
      <c r="T141" s="67">
        <v>0</v>
      </c>
      <c r="U141" s="67"/>
      <c r="V141" s="45">
        <v>0</v>
      </c>
      <c r="W141" s="45"/>
      <c r="X141" s="45"/>
      <c r="Y141" s="45"/>
      <c r="Z141" s="59">
        <f>AA141+AC141</f>
        <v>0</v>
      </c>
      <c r="AA141" s="61">
        <v>0</v>
      </c>
      <c r="AB141" s="61">
        <v>0</v>
      </c>
      <c r="AC141" s="61">
        <v>0</v>
      </c>
      <c r="AD141" s="61">
        <v>0</v>
      </c>
      <c r="AE141" s="61">
        <v>0</v>
      </c>
      <c r="AF141" s="61" t="s">
        <v>128</v>
      </c>
      <c r="AG141" s="61" t="s">
        <v>128</v>
      </c>
      <c r="AH141" s="61" t="s">
        <v>128</v>
      </c>
      <c r="AI141" s="72"/>
      <c r="AJ141" s="59" t="s">
        <v>130</v>
      </c>
      <c r="AK141" s="66">
        <f>24*24</f>
        <v>576</v>
      </c>
      <c r="AL141" s="37">
        <v>2</v>
      </c>
      <c r="AM141" s="37" t="s">
        <v>117</v>
      </c>
      <c r="AN141" s="44" t="s">
        <v>128</v>
      </c>
      <c r="AO141" s="70">
        <f t="shared" si="76"/>
        <v>40718333.333333336</v>
      </c>
      <c r="AP141" s="39" t="s">
        <v>118</v>
      </c>
      <c r="AQ141" s="38" t="s">
        <v>109</v>
      </c>
      <c r="AR141" s="38" t="s">
        <v>83</v>
      </c>
      <c r="AS141" s="38" t="s">
        <v>83</v>
      </c>
      <c r="AT141" s="38" t="s">
        <v>83</v>
      </c>
      <c r="AU141" s="37" t="s">
        <v>111</v>
      </c>
      <c r="AV141" s="40"/>
      <c r="AW141" s="38"/>
      <c r="AX141" s="40"/>
      <c r="AY141" s="41" t="str">
        <f t="shared" si="74"/>
        <v>70-80</v>
      </c>
      <c r="AZ141" s="75"/>
      <c r="BA141" s="35"/>
      <c r="BB141" s="35"/>
      <c r="BC141" s="49"/>
      <c r="BD141" s="49"/>
    </row>
    <row r="142" spans="1:56">
      <c r="A142" s="39" t="s">
        <v>186</v>
      </c>
      <c r="B142" s="39" t="s">
        <v>170</v>
      </c>
      <c r="C142" s="39" t="s">
        <v>169</v>
      </c>
      <c r="D142" s="39" t="e">
        <f t="shared" si="66"/>
        <v>#VALUE!</v>
      </c>
      <c r="E142" s="64">
        <f t="shared" si="67"/>
        <v>1108400</v>
      </c>
      <c r="F142" s="179">
        <f t="shared" si="75"/>
        <v>0.87333092746300978</v>
      </c>
      <c r="G142" s="39">
        <v>968000</v>
      </c>
      <c r="H142" s="39">
        <v>0</v>
      </c>
      <c r="I142" s="45">
        <f t="shared" si="73"/>
        <v>140400</v>
      </c>
      <c r="J142" s="45">
        <f>130000*1.08</f>
        <v>140400</v>
      </c>
      <c r="K142" s="45"/>
      <c r="L142" s="45"/>
      <c r="M142" s="45"/>
      <c r="N142" s="45"/>
      <c r="O142" s="45"/>
      <c r="P142" s="45"/>
      <c r="Q142" s="45"/>
      <c r="R142" s="69">
        <v>0</v>
      </c>
      <c r="S142" s="65">
        <f t="shared" si="65"/>
        <v>0</v>
      </c>
      <c r="T142" s="67">
        <v>0</v>
      </c>
      <c r="U142" s="67"/>
      <c r="V142" s="45">
        <v>0</v>
      </c>
      <c r="W142" s="45"/>
      <c r="X142" s="45"/>
      <c r="Y142" s="45"/>
      <c r="Z142" s="59">
        <f>AA142+AC142</f>
        <v>0</v>
      </c>
      <c r="AA142" s="61">
        <v>0</v>
      </c>
      <c r="AB142" s="61">
        <v>0</v>
      </c>
      <c r="AC142" s="61">
        <v>0</v>
      </c>
      <c r="AD142" s="61">
        <v>0</v>
      </c>
      <c r="AE142" s="61">
        <v>0</v>
      </c>
      <c r="AF142" s="61" t="s">
        <v>128</v>
      </c>
      <c r="AG142" s="61" t="s">
        <v>128</v>
      </c>
      <c r="AH142" s="61" t="s">
        <v>128</v>
      </c>
      <c r="AI142" s="72"/>
      <c r="AJ142" s="59" t="s">
        <v>130</v>
      </c>
      <c r="AK142" s="66">
        <f>24*24</f>
        <v>576</v>
      </c>
      <c r="AL142" s="37">
        <v>3</v>
      </c>
      <c r="AM142" s="37" t="s">
        <v>117</v>
      </c>
      <c r="AN142" s="44" t="s">
        <v>128</v>
      </c>
      <c r="AO142" s="70">
        <f t="shared" si="76"/>
        <v>50801666.666666664</v>
      </c>
      <c r="AP142" s="39" t="s">
        <v>118</v>
      </c>
      <c r="AQ142" s="38" t="s">
        <v>109</v>
      </c>
      <c r="AR142" s="38" t="s">
        <v>83</v>
      </c>
      <c r="AS142" s="38" t="s">
        <v>83</v>
      </c>
      <c r="AT142" s="38" t="s">
        <v>83</v>
      </c>
      <c r="AU142" s="37" t="s">
        <v>111</v>
      </c>
      <c r="AV142" s="40"/>
      <c r="AW142" s="38"/>
      <c r="AX142" s="40"/>
      <c r="AY142" s="41" t="str">
        <f t="shared" si="74"/>
        <v>100-110</v>
      </c>
      <c r="AZ142" s="75"/>
      <c r="BA142" s="143"/>
      <c r="BB142" s="143"/>
      <c r="BC142" s="49"/>
      <c r="BD142" s="49"/>
    </row>
    <row r="143" spans="1:56">
      <c r="A143" s="39" t="s">
        <v>186</v>
      </c>
      <c r="B143" s="39" t="s">
        <v>170</v>
      </c>
      <c r="C143" s="39" t="s">
        <v>169</v>
      </c>
      <c r="D143" s="39" t="e">
        <f t="shared" si="66"/>
        <v>#VALUE!</v>
      </c>
      <c r="E143" s="64">
        <f t="shared" si="67"/>
        <v>1328400</v>
      </c>
      <c r="F143" s="179">
        <f t="shared" si="75"/>
        <v>0.89430894308943087</v>
      </c>
      <c r="G143" s="39">
        <v>1188000</v>
      </c>
      <c r="H143" s="39">
        <v>0</v>
      </c>
      <c r="I143" s="45">
        <f t="shared" si="73"/>
        <v>140400</v>
      </c>
      <c r="J143" s="45">
        <f>130000*1.08</f>
        <v>140400</v>
      </c>
      <c r="K143" s="45"/>
      <c r="L143" s="45"/>
      <c r="M143" s="45"/>
      <c r="N143" s="45"/>
      <c r="O143" s="45"/>
      <c r="P143" s="45"/>
      <c r="Q143" s="45"/>
      <c r="R143" s="69">
        <v>0</v>
      </c>
      <c r="S143" s="65">
        <f t="shared" si="65"/>
        <v>0</v>
      </c>
      <c r="T143" s="67">
        <v>0</v>
      </c>
      <c r="U143" s="67"/>
      <c r="V143" s="45">
        <v>0</v>
      </c>
      <c r="W143" s="45"/>
      <c r="X143" s="45"/>
      <c r="Y143" s="45"/>
      <c r="Z143" s="59">
        <f>AA143+AC143</f>
        <v>0</v>
      </c>
      <c r="AA143" s="61">
        <v>0</v>
      </c>
      <c r="AB143" s="61">
        <v>0</v>
      </c>
      <c r="AC143" s="61">
        <v>0</v>
      </c>
      <c r="AD143" s="61">
        <v>0</v>
      </c>
      <c r="AE143" s="61">
        <v>0</v>
      </c>
      <c r="AF143" s="61" t="s">
        <v>128</v>
      </c>
      <c r="AG143" s="61" t="s">
        <v>128</v>
      </c>
      <c r="AH143" s="61" t="s">
        <v>128</v>
      </c>
      <c r="AI143" s="72"/>
      <c r="AJ143" s="59" t="s">
        <v>130</v>
      </c>
      <c r="AK143" s="66">
        <f>24*24</f>
        <v>576</v>
      </c>
      <c r="AL143" s="37">
        <v>4</v>
      </c>
      <c r="AM143" s="37" t="s">
        <v>117</v>
      </c>
      <c r="AN143" s="44" t="s">
        <v>128</v>
      </c>
      <c r="AO143" s="70">
        <f t="shared" si="76"/>
        <v>60885000</v>
      </c>
      <c r="AP143" s="39" t="s">
        <v>118</v>
      </c>
      <c r="AQ143" s="38" t="s">
        <v>109</v>
      </c>
      <c r="AR143" s="38" t="s">
        <v>83</v>
      </c>
      <c r="AS143" s="38" t="s">
        <v>83</v>
      </c>
      <c r="AT143" s="38" t="s">
        <v>83</v>
      </c>
      <c r="AU143" s="37" t="s">
        <v>111</v>
      </c>
      <c r="AV143" s="40"/>
      <c r="AW143" s="38"/>
      <c r="AX143" s="40"/>
      <c r="AY143" s="41" t="str">
        <f t="shared" si="74"/>
        <v>100-110</v>
      </c>
      <c r="AZ143" s="75"/>
      <c r="BA143" s="143"/>
      <c r="BB143" s="143"/>
      <c r="BC143" s="155"/>
      <c r="BD143" s="155"/>
    </row>
    <row r="144" spans="1:56" ht="45">
      <c r="A144" s="39" t="s">
        <v>100</v>
      </c>
      <c r="B144" s="39" t="s">
        <v>99</v>
      </c>
      <c r="C144" s="39" t="s">
        <v>180</v>
      </c>
      <c r="D144" s="39" t="e">
        <f t="shared" si="66"/>
        <v>#VALUE!</v>
      </c>
      <c r="E144" s="64">
        <f t="shared" si="67"/>
        <v>2116400</v>
      </c>
      <c r="F144" s="179">
        <f t="shared" si="75"/>
        <v>0.89775089775089778</v>
      </c>
      <c r="G144" s="39">
        <v>1900000</v>
      </c>
      <c r="H144" s="39">
        <v>130000</v>
      </c>
      <c r="I144" s="45">
        <f t="shared" si="73"/>
        <v>54000</v>
      </c>
      <c r="J144" s="39"/>
      <c r="K144" s="39"/>
      <c r="L144" s="39"/>
      <c r="M144" s="39"/>
      <c r="N144" s="39"/>
      <c r="O144" s="39"/>
      <c r="P144" s="39"/>
      <c r="Q144" s="39"/>
      <c r="R144" s="39">
        <v>54000</v>
      </c>
      <c r="S144" s="65">
        <f t="shared" si="65"/>
        <v>32400</v>
      </c>
      <c r="T144" s="39">
        <v>32400</v>
      </c>
      <c r="U144" s="39"/>
      <c r="V144" s="39"/>
      <c r="W144" s="39"/>
      <c r="X144" s="39"/>
      <c r="Y144" s="39"/>
      <c r="Z144" s="61" t="s">
        <v>128</v>
      </c>
      <c r="AA144" s="61" t="s">
        <v>128</v>
      </c>
      <c r="AB144" s="61" t="s">
        <v>128</v>
      </c>
      <c r="AC144" s="61" t="s">
        <v>128</v>
      </c>
      <c r="AD144" s="61" t="s">
        <v>128</v>
      </c>
      <c r="AE144" s="61" t="s">
        <v>128</v>
      </c>
      <c r="AF144" s="61" t="s">
        <v>128</v>
      </c>
      <c r="AG144" s="61" t="s">
        <v>128</v>
      </c>
      <c r="AH144" s="61" t="s">
        <v>128</v>
      </c>
      <c r="AI144" s="61"/>
      <c r="AJ144" s="60" t="s">
        <v>177</v>
      </c>
      <c r="AK144" s="37">
        <f>50*30</f>
        <v>1500</v>
      </c>
      <c r="AL144" s="37" t="s">
        <v>178</v>
      </c>
      <c r="AM144" s="37">
        <v>13</v>
      </c>
      <c r="AN144" s="37">
        <v>60</v>
      </c>
      <c r="AO144" s="70">
        <f t="shared" si="76"/>
        <v>37248640</v>
      </c>
      <c r="AP144" s="39" t="s">
        <v>118</v>
      </c>
      <c r="AQ144" s="37" t="s">
        <v>176</v>
      </c>
      <c r="AR144" s="37" t="s">
        <v>144</v>
      </c>
      <c r="AS144" s="44" t="s">
        <v>132</v>
      </c>
      <c r="AT144" s="44" t="s">
        <v>146</v>
      </c>
      <c r="AU144" s="37" t="s">
        <v>134</v>
      </c>
      <c r="AV144" s="40" t="s">
        <v>117</v>
      </c>
      <c r="AW144" s="38" t="s">
        <v>128</v>
      </c>
      <c r="AX144" s="40" t="e">
        <f t="shared" ref="AX144:AX155" si="77">AW144*E144</f>
        <v>#VALUE!</v>
      </c>
      <c r="AY144" s="41" t="str">
        <f t="shared" si="74"/>
        <v>210-220</v>
      </c>
      <c r="AZ144" s="75" t="s">
        <v>174</v>
      </c>
      <c r="BA144" s="143"/>
      <c r="BB144" s="143"/>
      <c r="BC144" s="155"/>
      <c r="BD144" s="155"/>
    </row>
    <row r="145" spans="1:56" ht="15">
      <c r="A145" s="39" t="s">
        <v>100</v>
      </c>
      <c r="B145" s="39" t="s">
        <v>99</v>
      </c>
      <c r="C145" s="39" t="s">
        <v>180</v>
      </c>
      <c r="D145" s="39" t="e">
        <f t="shared" si="66"/>
        <v>#VALUE!</v>
      </c>
      <c r="E145" s="64">
        <f t="shared" si="67"/>
        <v>1816000</v>
      </c>
      <c r="F145" s="179">
        <f t="shared" si="75"/>
        <v>0.88105726872246692</v>
      </c>
      <c r="G145" s="39">
        <v>1600000</v>
      </c>
      <c r="H145" s="39">
        <v>130000</v>
      </c>
      <c r="I145" s="45">
        <f t="shared" si="73"/>
        <v>0</v>
      </c>
      <c r="J145" s="39"/>
      <c r="K145" s="39"/>
      <c r="L145" s="39"/>
      <c r="M145" s="39"/>
      <c r="N145" s="39"/>
      <c r="O145" s="39"/>
      <c r="P145" s="39"/>
      <c r="Q145" s="39"/>
      <c r="R145" s="39"/>
      <c r="S145" s="65">
        <f t="shared" si="65"/>
        <v>86000</v>
      </c>
      <c r="T145" s="39">
        <v>86000</v>
      </c>
      <c r="U145" s="39"/>
      <c r="V145" s="39"/>
      <c r="W145" s="39"/>
      <c r="X145" s="39"/>
      <c r="Y145" s="39"/>
      <c r="Z145" s="61" t="s">
        <v>128</v>
      </c>
      <c r="AA145" s="61" t="s">
        <v>128</v>
      </c>
      <c r="AB145" s="61" t="s">
        <v>128</v>
      </c>
      <c r="AC145" s="61" t="s">
        <v>128</v>
      </c>
      <c r="AD145" s="61" t="s">
        <v>128</v>
      </c>
      <c r="AE145" s="61" t="s">
        <v>128</v>
      </c>
      <c r="AF145" s="61" t="s">
        <v>128</v>
      </c>
      <c r="AG145" s="61" t="s">
        <v>128</v>
      </c>
      <c r="AH145" s="61" t="s">
        <v>128</v>
      </c>
      <c r="AI145" s="61"/>
      <c r="AJ145" s="60" t="s">
        <v>179</v>
      </c>
      <c r="AK145" s="37">
        <f>20*20</f>
        <v>400</v>
      </c>
      <c r="AL145" s="37" t="s">
        <v>178</v>
      </c>
      <c r="AM145" s="37">
        <v>13</v>
      </c>
      <c r="AN145" s="37">
        <v>60</v>
      </c>
      <c r="AO145" s="70">
        <f t="shared" si="76"/>
        <v>119856000</v>
      </c>
      <c r="AP145" s="39" t="s">
        <v>118</v>
      </c>
      <c r="AQ145" s="37" t="s">
        <v>176</v>
      </c>
      <c r="AR145" s="44" t="s">
        <v>83</v>
      </c>
      <c r="AS145" s="44" t="s">
        <v>132</v>
      </c>
      <c r="AT145" s="44" t="s">
        <v>146</v>
      </c>
      <c r="AU145" s="37" t="s">
        <v>134</v>
      </c>
      <c r="AV145" s="40" t="s">
        <v>116</v>
      </c>
      <c r="AW145" s="38" t="s">
        <v>116</v>
      </c>
      <c r="AX145" s="40" t="e">
        <f t="shared" si="77"/>
        <v>#VALUE!</v>
      </c>
      <c r="AY145" s="41" t="str">
        <f t="shared" si="74"/>
        <v>160-170</v>
      </c>
      <c r="AZ145" s="75" t="s">
        <v>175</v>
      </c>
      <c r="BA145" s="143"/>
      <c r="BB145" s="143"/>
      <c r="BC145" s="155"/>
      <c r="BD145" s="155"/>
    </row>
    <row r="146" spans="1:56">
      <c r="A146" s="39" t="s">
        <v>100</v>
      </c>
      <c r="B146" s="39" t="s">
        <v>99</v>
      </c>
      <c r="C146" s="39" t="s">
        <v>180</v>
      </c>
      <c r="D146" s="39" t="e">
        <f t="shared" si="66"/>
        <v>#VALUE!</v>
      </c>
      <c r="E146" s="64">
        <f t="shared" si="67"/>
        <v>1516000</v>
      </c>
      <c r="F146" s="179">
        <f t="shared" si="75"/>
        <v>0.85751978891820579</v>
      </c>
      <c r="G146" s="39">
        <v>1300000</v>
      </c>
      <c r="H146" s="39">
        <v>130000</v>
      </c>
      <c r="I146" s="45">
        <f t="shared" si="73"/>
        <v>0</v>
      </c>
      <c r="J146" s="39"/>
      <c r="K146" s="39"/>
      <c r="L146" s="39"/>
      <c r="M146" s="39"/>
      <c r="N146" s="39"/>
      <c r="O146" s="39"/>
      <c r="P146" s="39"/>
      <c r="Q146" s="39"/>
      <c r="R146" s="39"/>
      <c r="S146" s="65">
        <f t="shared" si="65"/>
        <v>86000</v>
      </c>
      <c r="T146" s="39">
        <v>86000</v>
      </c>
      <c r="U146" s="39"/>
      <c r="V146" s="39"/>
      <c r="W146" s="39"/>
      <c r="X146" s="39"/>
      <c r="Y146" s="39"/>
      <c r="Z146" s="61" t="s">
        <v>128</v>
      </c>
      <c r="AA146" s="61" t="s">
        <v>128</v>
      </c>
      <c r="AB146" s="61" t="s">
        <v>128</v>
      </c>
      <c r="AC146" s="61" t="s">
        <v>128</v>
      </c>
      <c r="AD146" s="61" t="s">
        <v>128</v>
      </c>
      <c r="AE146" s="61" t="s">
        <v>128</v>
      </c>
      <c r="AF146" s="61" t="s">
        <v>128</v>
      </c>
      <c r="AG146" s="61" t="s">
        <v>128</v>
      </c>
      <c r="AH146" s="61" t="s">
        <v>128</v>
      </c>
      <c r="AI146" s="61"/>
      <c r="AJ146" s="60" t="s">
        <v>179</v>
      </c>
      <c r="AK146" s="37">
        <f>20*20</f>
        <v>400</v>
      </c>
      <c r="AL146" s="37" t="s">
        <v>181</v>
      </c>
      <c r="AM146" s="37">
        <v>13</v>
      </c>
      <c r="AN146" s="37">
        <v>60</v>
      </c>
      <c r="AO146" s="70">
        <f t="shared" si="76"/>
        <v>100056000</v>
      </c>
      <c r="AP146" s="39" t="s">
        <v>118</v>
      </c>
      <c r="AQ146" s="37" t="s">
        <v>176</v>
      </c>
      <c r="AR146" s="44" t="s">
        <v>83</v>
      </c>
      <c r="AS146" s="44" t="s">
        <v>132</v>
      </c>
      <c r="AT146" s="44" t="s">
        <v>146</v>
      </c>
      <c r="AU146" s="37" t="s">
        <v>134</v>
      </c>
      <c r="AV146" s="40" t="s">
        <v>116</v>
      </c>
      <c r="AW146" s="38" t="s">
        <v>116</v>
      </c>
      <c r="AX146" s="40" t="e">
        <f t="shared" si="77"/>
        <v>#VALUE!</v>
      </c>
      <c r="AY146" s="41" t="str">
        <f t="shared" si="74"/>
        <v>130-140</v>
      </c>
      <c r="AZ146" s="75"/>
      <c r="BA146" s="143"/>
      <c r="BB146" s="143"/>
      <c r="BC146" s="155"/>
      <c r="BD146" s="155"/>
    </row>
    <row r="147" spans="1:56">
      <c r="A147" s="39" t="s">
        <v>100</v>
      </c>
      <c r="B147" s="39" t="s">
        <v>99</v>
      </c>
      <c r="C147" s="39" t="s">
        <v>180</v>
      </c>
      <c r="D147" s="39" t="e">
        <f t="shared" si="66"/>
        <v>#VALUE!</v>
      </c>
      <c r="E147" s="64">
        <f t="shared" si="67"/>
        <v>1216000</v>
      </c>
      <c r="F147" s="179">
        <f t="shared" si="75"/>
        <v>0.82236842105263153</v>
      </c>
      <c r="G147" s="39">
        <v>1000000</v>
      </c>
      <c r="H147" s="39">
        <v>130000</v>
      </c>
      <c r="I147" s="45">
        <f t="shared" si="73"/>
        <v>0</v>
      </c>
      <c r="J147" s="39"/>
      <c r="K147" s="39"/>
      <c r="L147" s="39"/>
      <c r="M147" s="39"/>
      <c r="N147" s="39"/>
      <c r="O147" s="39"/>
      <c r="P147" s="39"/>
      <c r="Q147" s="39"/>
      <c r="R147" s="39"/>
      <c r="S147" s="65">
        <f t="shared" si="65"/>
        <v>86000</v>
      </c>
      <c r="T147" s="39">
        <v>86000</v>
      </c>
      <c r="U147" s="39"/>
      <c r="V147" s="39"/>
      <c r="W147" s="39"/>
      <c r="X147" s="39"/>
      <c r="Y147" s="39"/>
      <c r="Z147" s="61" t="s">
        <v>128</v>
      </c>
      <c r="AA147" s="61" t="s">
        <v>128</v>
      </c>
      <c r="AB147" s="61" t="s">
        <v>128</v>
      </c>
      <c r="AC147" s="61" t="s">
        <v>128</v>
      </c>
      <c r="AD147" s="61" t="s">
        <v>128</v>
      </c>
      <c r="AE147" s="61" t="s">
        <v>128</v>
      </c>
      <c r="AF147" s="61" t="s">
        <v>128</v>
      </c>
      <c r="AG147" s="61" t="s">
        <v>128</v>
      </c>
      <c r="AH147" s="61" t="s">
        <v>128</v>
      </c>
      <c r="AI147" s="61"/>
      <c r="AJ147" s="60" t="s">
        <v>179</v>
      </c>
      <c r="AK147" s="37">
        <f>20*20</f>
        <v>400</v>
      </c>
      <c r="AL147" s="37">
        <v>1</v>
      </c>
      <c r="AM147" s="37">
        <v>13</v>
      </c>
      <c r="AN147" s="37">
        <v>60</v>
      </c>
      <c r="AO147" s="70">
        <f t="shared" si="76"/>
        <v>80256000</v>
      </c>
      <c r="AP147" s="39" t="s">
        <v>118</v>
      </c>
      <c r="AQ147" s="37" t="s">
        <v>176</v>
      </c>
      <c r="AR147" s="44" t="s">
        <v>83</v>
      </c>
      <c r="AS147" s="44" t="s">
        <v>132</v>
      </c>
      <c r="AT147" s="44" t="s">
        <v>146</v>
      </c>
      <c r="AU147" s="37" t="s">
        <v>134</v>
      </c>
      <c r="AV147" s="40" t="s">
        <v>116</v>
      </c>
      <c r="AW147" s="38" t="s">
        <v>116</v>
      </c>
      <c r="AX147" s="40" t="e">
        <f t="shared" si="77"/>
        <v>#VALUE!</v>
      </c>
      <c r="AY147" s="41" t="str">
        <f t="shared" si="74"/>
        <v>100-110</v>
      </c>
      <c r="AZ147" s="75"/>
      <c r="BA147" s="143"/>
      <c r="BB147" s="143"/>
      <c r="BC147" s="155"/>
      <c r="BD147" s="155"/>
    </row>
    <row r="148" spans="1:56">
      <c r="A148" s="39" t="s">
        <v>100</v>
      </c>
      <c r="B148" s="39" t="s">
        <v>99</v>
      </c>
      <c r="C148" s="39" t="s">
        <v>180</v>
      </c>
      <c r="D148" s="39" t="e">
        <f t="shared" si="66"/>
        <v>#VALUE!</v>
      </c>
      <c r="E148" s="64">
        <f t="shared" si="67"/>
        <v>1016000</v>
      </c>
      <c r="F148" s="179">
        <f t="shared" si="75"/>
        <v>0.78740157480314965</v>
      </c>
      <c r="G148" s="39">
        <v>800000</v>
      </c>
      <c r="H148" s="39">
        <v>130000</v>
      </c>
      <c r="I148" s="45">
        <f t="shared" si="73"/>
        <v>0</v>
      </c>
      <c r="J148" s="39"/>
      <c r="K148" s="39"/>
      <c r="L148" s="39"/>
      <c r="M148" s="39"/>
      <c r="N148" s="39"/>
      <c r="O148" s="39"/>
      <c r="P148" s="39"/>
      <c r="Q148" s="39"/>
      <c r="R148" s="39"/>
      <c r="S148" s="65">
        <f t="shared" si="65"/>
        <v>86000</v>
      </c>
      <c r="T148" s="39">
        <v>86000</v>
      </c>
      <c r="U148" s="39"/>
      <c r="V148" s="39"/>
      <c r="W148" s="39"/>
      <c r="X148" s="39"/>
      <c r="Y148" s="39"/>
      <c r="Z148" s="61" t="s">
        <v>128</v>
      </c>
      <c r="AA148" s="61" t="s">
        <v>128</v>
      </c>
      <c r="AB148" s="61" t="s">
        <v>128</v>
      </c>
      <c r="AC148" s="61" t="s">
        <v>128</v>
      </c>
      <c r="AD148" s="61" t="s">
        <v>128</v>
      </c>
      <c r="AE148" s="61" t="s">
        <v>128</v>
      </c>
      <c r="AF148" s="61" t="s">
        <v>128</v>
      </c>
      <c r="AG148" s="61" t="s">
        <v>128</v>
      </c>
      <c r="AH148" s="61" t="s">
        <v>128</v>
      </c>
      <c r="AI148" s="61"/>
      <c r="AJ148" s="60" t="s">
        <v>179</v>
      </c>
      <c r="AK148" s="37">
        <f>20*20</f>
        <v>400</v>
      </c>
      <c r="AL148" s="37">
        <v>1</v>
      </c>
      <c r="AM148" s="37">
        <v>13</v>
      </c>
      <c r="AN148" s="37">
        <v>60</v>
      </c>
      <c r="AO148" s="70">
        <f t="shared" si="76"/>
        <v>67056000</v>
      </c>
      <c r="AP148" s="39" t="s">
        <v>118</v>
      </c>
      <c r="AQ148" s="37" t="s">
        <v>176</v>
      </c>
      <c r="AR148" s="44" t="s">
        <v>83</v>
      </c>
      <c r="AS148" s="44" t="s">
        <v>132</v>
      </c>
      <c r="AT148" s="44" t="s">
        <v>146</v>
      </c>
      <c r="AU148" s="37" t="s">
        <v>134</v>
      </c>
      <c r="AV148" s="40" t="s">
        <v>116</v>
      </c>
      <c r="AW148" s="38" t="s">
        <v>116</v>
      </c>
      <c r="AX148" s="40" t="e">
        <f t="shared" si="77"/>
        <v>#VALUE!</v>
      </c>
      <c r="AY148" s="41" t="str">
        <f t="shared" si="74"/>
        <v>100-110</v>
      </c>
      <c r="AZ148" s="75"/>
      <c r="BA148" s="35"/>
      <c r="BB148" s="35"/>
      <c r="BC148" s="49"/>
      <c r="BD148" s="49"/>
    </row>
    <row r="149" spans="1:56" ht="15">
      <c r="A149" s="39" t="s">
        <v>100</v>
      </c>
      <c r="B149" s="39" t="s">
        <v>99</v>
      </c>
      <c r="C149" s="39" t="s">
        <v>180</v>
      </c>
      <c r="D149" s="39" t="e">
        <f t="shared" si="66"/>
        <v>#VALUE!</v>
      </c>
      <c r="E149" s="64">
        <f t="shared" si="67"/>
        <v>500000</v>
      </c>
      <c r="F149" s="179">
        <f t="shared" si="75"/>
        <v>1</v>
      </c>
      <c r="G149" s="39">
        <v>500000</v>
      </c>
      <c r="H149" s="39">
        <v>0</v>
      </c>
      <c r="I149" s="45">
        <f t="shared" si="73"/>
        <v>0</v>
      </c>
      <c r="J149" s="39"/>
      <c r="K149" s="39"/>
      <c r="L149" s="39"/>
      <c r="M149" s="39"/>
      <c r="N149" s="39"/>
      <c r="O149" s="39"/>
      <c r="P149" s="39"/>
      <c r="Q149" s="39"/>
      <c r="R149" s="39"/>
      <c r="S149" s="65">
        <f t="shared" si="65"/>
        <v>0</v>
      </c>
      <c r="T149" s="39"/>
      <c r="U149" s="39"/>
      <c r="V149" s="39"/>
      <c r="W149" s="39"/>
      <c r="X149" s="39"/>
      <c r="Y149" s="39"/>
      <c r="Z149" s="61" t="s">
        <v>128</v>
      </c>
      <c r="AA149" s="61" t="s">
        <v>128</v>
      </c>
      <c r="AB149" s="61" t="s">
        <v>128</v>
      </c>
      <c r="AC149" s="61" t="s">
        <v>128</v>
      </c>
      <c r="AD149" s="61" t="s">
        <v>128</v>
      </c>
      <c r="AE149" s="61" t="s">
        <v>128</v>
      </c>
      <c r="AF149" s="61" t="s">
        <v>128</v>
      </c>
      <c r="AG149" s="61" t="s">
        <v>128</v>
      </c>
      <c r="AH149" s="61" t="s">
        <v>128</v>
      </c>
      <c r="AI149" s="61"/>
      <c r="AJ149" s="60" t="s">
        <v>182</v>
      </c>
      <c r="AK149" s="37">
        <f>10*10</f>
        <v>100</v>
      </c>
      <c r="AL149" s="37">
        <v>1</v>
      </c>
      <c r="AM149" s="37">
        <v>23</v>
      </c>
      <c r="AN149" s="38" t="s">
        <v>117</v>
      </c>
      <c r="AO149" s="70">
        <f t="shared" si="76"/>
        <v>132000000</v>
      </c>
      <c r="AP149" s="39" t="s">
        <v>118</v>
      </c>
      <c r="AQ149" s="38" t="s">
        <v>183</v>
      </c>
      <c r="AR149" s="44" t="s">
        <v>83</v>
      </c>
      <c r="AS149" s="44" t="s">
        <v>132</v>
      </c>
      <c r="AT149" s="44" t="s">
        <v>146</v>
      </c>
      <c r="AU149" s="37" t="s">
        <v>134</v>
      </c>
      <c r="AV149" s="40" t="s">
        <v>116</v>
      </c>
      <c r="AW149" s="38" t="s">
        <v>116</v>
      </c>
      <c r="AX149" s="40" t="e">
        <f t="shared" si="77"/>
        <v>#VALUE!</v>
      </c>
      <c r="AY149" s="41" t="str">
        <f t="shared" si="74"/>
        <v>50-60</v>
      </c>
      <c r="AZ149" s="75" t="s">
        <v>184</v>
      </c>
      <c r="BA149" s="35"/>
      <c r="BB149" s="35"/>
      <c r="BC149" s="49"/>
      <c r="BD149" s="49"/>
    </row>
    <row r="150" spans="1:56" ht="15">
      <c r="A150" s="39" t="s">
        <v>100</v>
      </c>
      <c r="B150" s="39" t="s">
        <v>99</v>
      </c>
      <c r="C150" s="39" t="s">
        <v>180</v>
      </c>
      <c r="D150" s="39" t="e">
        <f t="shared" si="66"/>
        <v>#VALUE!</v>
      </c>
      <c r="E150" s="64">
        <f t="shared" si="67"/>
        <v>400000</v>
      </c>
      <c r="F150" s="179">
        <f t="shared" si="75"/>
        <v>1</v>
      </c>
      <c r="G150" s="39">
        <v>400000</v>
      </c>
      <c r="H150" s="39">
        <v>0</v>
      </c>
      <c r="I150" s="45">
        <f t="shared" si="73"/>
        <v>0</v>
      </c>
      <c r="J150" s="39"/>
      <c r="K150" s="39"/>
      <c r="L150" s="39"/>
      <c r="M150" s="39"/>
      <c r="N150" s="39"/>
      <c r="O150" s="39"/>
      <c r="P150" s="39"/>
      <c r="Q150" s="39"/>
      <c r="R150" s="39"/>
      <c r="S150" s="65">
        <f t="shared" si="65"/>
        <v>0</v>
      </c>
      <c r="T150" s="39"/>
      <c r="U150" s="39"/>
      <c r="V150" s="39"/>
      <c r="W150" s="39"/>
      <c r="X150" s="39"/>
      <c r="Y150" s="39"/>
      <c r="Z150" s="61" t="s">
        <v>128</v>
      </c>
      <c r="AA150" s="61" t="s">
        <v>128</v>
      </c>
      <c r="AB150" s="61" t="s">
        <v>128</v>
      </c>
      <c r="AC150" s="61" t="s">
        <v>128</v>
      </c>
      <c r="AD150" s="61" t="s">
        <v>128</v>
      </c>
      <c r="AE150" s="61" t="s">
        <v>128</v>
      </c>
      <c r="AF150" s="61" t="s">
        <v>128</v>
      </c>
      <c r="AG150" s="61" t="s">
        <v>128</v>
      </c>
      <c r="AH150" s="61" t="s">
        <v>128</v>
      </c>
      <c r="AI150" s="61"/>
      <c r="AJ150" s="60" t="s">
        <v>182</v>
      </c>
      <c r="AK150" s="37">
        <f>10*10</f>
        <v>100</v>
      </c>
      <c r="AL150" s="37">
        <v>1</v>
      </c>
      <c r="AM150" s="37">
        <v>23</v>
      </c>
      <c r="AN150" s="38" t="s">
        <v>117</v>
      </c>
      <c r="AO150" s="70">
        <f t="shared" si="76"/>
        <v>105600000</v>
      </c>
      <c r="AP150" s="39" t="s">
        <v>118</v>
      </c>
      <c r="AQ150" s="38" t="s">
        <v>183</v>
      </c>
      <c r="AR150" s="44" t="s">
        <v>83</v>
      </c>
      <c r="AS150" s="44" t="s">
        <v>132</v>
      </c>
      <c r="AT150" s="44" t="s">
        <v>146</v>
      </c>
      <c r="AU150" s="37" t="s">
        <v>134</v>
      </c>
      <c r="AV150" s="40" t="s">
        <v>116</v>
      </c>
      <c r="AW150" s="38" t="s">
        <v>116</v>
      </c>
      <c r="AX150" s="40" t="e">
        <f t="shared" si="77"/>
        <v>#VALUE!</v>
      </c>
      <c r="AY150" s="41" t="str">
        <f t="shared" si="74"/>
        <v>40-50</v>
      </c>
      <c r="AZ150" s="75" t="s">
        <v>185</v>
      </c>
      <c r="BA150" s="35"/>
      <c r="BB150" s="35"/>
    </row>
    <row r="151" spans="1:56">
      <c r="A151" s="39" t="s">
        <v>97</v>
      </c>
      <c r="B151" s="39" t="s">
        <v>98</v>
      </c>
      <c r="C151" s="39" t="s">
        <v>188</v>
      </c>
      <c r="D151" s="39" t="e">
        <f>G151+H151+I151+S151+Z151+AF151</f>
        <v>#VALUE!</v>
      </c>
      <c r="E151" s="64">
        <f t="shared" si="67"/>
        <v>1791600</v>
      </c>
      <c r="F151" s="179">
        <f t="shared" si="75"/>
        <v>0.72337575351640993</v>
      </c>
      <c r="G151" s="39">
        <f>1.08*1200000</f>
        <v>1296000</v>
      </c>
      <c r="H151" s="39">
        <v>150000</v>
      </c>
      <c r="I151" s="45">
        <f t="shared" si="73"/>
        <v>162000</v>
      </c>
      <c r="J151" s="39">
        <v>54000</v>
      </c>
      <c r="K151" s="39">
        <v>54000</v>
      </c>
      <c r="L151" s="39"/>
      <c r="M151" s="39"/>
      <c r="N151" s="39"/>
      <c r="O151" s="39"/>
      <c r="P151" s="39">
        <v>32400</v>
      </c>
      <c r="Q151" s="39">
        <v>21600</v>
      </c>
      <c r="R151" s="39"/>
      <c r="S151" s="65">
        <f t="shared" si="65"/>
        <v>183600</v>
      </c>
      <c r="T151" s="39"/>
      <c r="U151" s="39">
        <v>54000</v>
      </c>
      <c r="V151" s="39">
        <v>32400</v>
      </c>
      <c r="W151" s="39">
        <v>32400</v>
      </c>
      <c r="X151" s="39">
        <v>32400</v>
      </c>
      <c r="Y151" s="39">
        <v>32400</v>
      </c>
      <c r="Z151" s="61" t="s">
        <v>117</v>
      </c>
      <c r="AA151" s="61" t="s">
        <v>128</v>
      </c>
      <c r="AB151" s="61" t="s">
        <v>128</v>
      </c>
      <c r="AC151" s="61" t="s">
        <v>128</v>
      </c>
      <c r="AD151" s="61" t="s">
        <v>128</v>
      </c>
      <c r="AE151" s="61" t="s">
        <v>128</v>
      </c>
      <c r="AF151" s="61" t="s">
        <v>128</v>
      </c>
      <c r="AG151" s="61" t="s">
        <v>128</v>
      </c>
      <c r="AH151" s="61" t="s">
        <v>128</v>
      </c>
      <c r="AI151" s="60">
        <v>200000</v>
      </c>
      <c r="AJ151" s="60" t="s">
        <v>193</v>
      </c>
      <c r="AK151" s="37">
        <f>60*30</f>
        <v>1800</v>
      </c>
      <c r="AL151" s="37">
        <v>8</v>
      </c>
      <c r="AM151" s="37">
        <v>13</v>
      </c>
      <c r="AN151" s="38" t="s">
        <v>117</v>
      </c>
      <c r="AO151" s="70">
        <f t="shared" si="76"/>
        <v>26276799.999999996</v>
      </c>
      <c r="AP151" s="39" t="s">
        <v>118</v>
      </c>
      <c r="AQ151" s="38" t="s">
        <v>194</v>
      </c>
      <c r="AR151" s="38" t="s">
        <v>118</v>
      </c>
      <c r="AS151" s="38" t="s">
        <v>118</v>
      </c>
      <c r="AT151" s="38" t="s">
        <v>118</v>
      </c>
      <c r="AU151" s="38" t="s">
        <v>111</v>
      </c>
      <c r="AV151" s="40" t="s">
        <v>116</v>
      </c>
      <c r="AW151" s="38" t="s">
        <v>116</v>
      </c>
      <c r="AX151" s="40" t="e">
        <f t="shared" si="77"/>
        <v>#VALUE!</v>
      </c>
      <c r="AY151" s="41" t="str">
        <f t="shared" si="74"/>
        <v>160-170</v>
      </c>
      <c r="AZ151" s="75"/>
      <c r="BA151" s="143"/>
      <c r="BB151" s="143"/>
      <c r="BC151" s="142"/>
      <c r="BD151" s="142"/>
    </row>
    <row r="152" spans="1:56">
      <c r="A152" s="39" t="s">
        <v>97</v>
      </c>
      <c r="B152" s="39" t="s">
        <v>98</v>
      </c>
      <c r="C152" s="39" t="s">
        <v>188</v>
      </c>
      <c r="D152" s="39" t="e">
        <f>G152+H152+S152+Z152+AF152</f>
        <v>#VALUE!</v>
      </c>
      <c r="E152" s="64">
        <f t="shared" si="67"/>
        <v>1212400</v>
      </c>
      <c r="F152" s="179">
        <f t="shared" si="75"/>
        <v>0.71263609369844938</v>
      </c>
      <c r="G152" s="39">
        <f>1.08*800000</f>
        <v>864000</v>
      </c>
      <c r="H152" s="39">
        <v>100000</v>
      </c>
      <c r="I152" s="45">
        <f t="shared" si="73"/>
        <v>86400</v>
      </c>
      <c r="J152" s="39">
        <v>32400</v>
      </c>
      <c r="K152" s="39"/>
      <c r="L152" s="39"/>
      <c r="M152" s="39"/>
      <c r="N152" s="39"/>
      <c r="O152" s="39"/>
      <c r="P152" s="39">
        <v>32400</v>
      </c>
      <c r="Q152" s="39">
        <v>21600</v>
      </c>
      <c r="R152" s="39"/>
      <c r="S152" s="65">
        <f t="shared" si="65"/>
        <v>162000</v>
      </c>
      <c r="T152" s="39"/>
      <c r="U152" s="39">
        <v>32400</v>
      </c>
      <c r="V152" s="39">
        <v>32400</v>
      </c>
      <c r="W152" s="39">
        <v>32400</v>
      </c>
      <c r="X152" s="39">
        <v>32400</v>
      </c>
      <c r="Y152" s="39">
        <v>32400</v>
      </c>
      <c r="Z152" s="61" t="s">
        <v>117</v>
      </c>
      <c r="AA152" s="61" t="s">
        <v>128</v>
      </c>
      <c r="AB152" s="61" t="s">
        <v>128</v>
      </c>
      <c r="AC152" s="61" t="s">
        <v>128</v>
      </c>
      <c r="AD152" s="61" t="s">
        <v>128</v>
      </c>
      <c r="AE152" s="61" t="s">
        <v>128</v>
      </c>
      <c r="AF152" s="61" t="s">
        <v>128</v>
      </c>
      <c r="AG152" s="61" t="s">
        <v>128</v>
      </c>
      <c r="AH152" s="61" t="s">
        <v>128</v>
      </c>
      <c r="AI152" s="60">
        <v>200000</v>
      </c>
      <c r="AJ152" s="60" t="s">
        <v>195</v>
      </c>
      <c r="AK152" s="37">
        <v>900</v>
      </c>
      <c r="AL152" s="37">
        <v>4</v>
      </c>
      <c r="AM152" s="37">
        <v>13</v>
      </c>
      <c r="AN152" s="38" t="s">
        <v>128</v>
      </c>
      <c r="AO152" s="70">
        <f t="shared" si="76"/>
        <v>35563733.333333336</v>
      </c>
      <c r="AP152" s="39" t="s">
        <v>118</v>
      </c>
      <c r="AQ152" s="38" t="s">
        <v>196</v>
      </c>
      <c r="AR152" s="38" t="s">
        <v>118</v>
      </c>
      <c r="AS152" s="38" t="s">
        <v>118</v>
      </c>
      <c r="AT152" s="38" t="s">
        <v>118</v>
      </c>
      <c r="AU152" s="38" t="s">
        <v>111</v>
      </c>
      <c r="AV152" s="40" t="s">
        <v>116</v>
      </c>
      <c r="AW152" s="38" t="s">
        <v>116</v>
      </c>
      <c r="AX152" s="40" t="e">
        <f t="shared" si="77"/>
        <v>#VALUE!</v>
      </c>
      <c r="AY152" s="41" t="str">
        <f t="shared" si="74"/>
        <v>100-110</v>
      </c>
      <c r="AZ152" s="75"/>
      <c r="BA152" s="143"/>
      <c r="BB152" s="143"/>
      <c r="BC152" s="142"/>
      <c r="BD152" s="142"/>
    </row>
    <row r="153" spans="1:56">
      <c r="A153" s="39" t="s">
        <v>97</v>
      </c>
      <c r="B153" s="39" t="s">
        <v>98</v>
      </c>
      <c r="C153" s="39" t="s">
        <v>188</v>
      </c>
      <c r="D153" s="39" t="e">
        <f>G153+H153+S153+Z153+AF153</f>
        <v>#VALUE!</v>
      </c>
      <c r="E153" s="64">
        <f t="shared" si="67"/>
        <v>748000</v>
      </c>
      <c r="F153" s="179">
        <f t="shared" si="75"/>
        <v>0.72192513368983957</v>
      </c>
      <c r="G153" s="39">
        <f>1.08*500000</f>
        <v>540000</v>
      </c>
      <c r="H153" s="39">
        <v>100000</v>
      </c>
      <c r="I153" s="45">
        <f t="shared" si="73"/>
        <v>48600</v>
      </c>
      <c r="J153" s="39">
        <f>25000*1.08</f>
        <v>27000</v>
      </c>
      <c r="K153" s="39"/>
      <c r="L153" s="39"/>
      <c r="M153" s="39"/>
      <c r="N153" s="39"/>
      <c r="O153" s="39"/>
      <c r="P153" s="39"/>
      <c r="Q153" s="39">
        <v>21600</v>
      </c>
      <c r="R153" s="39"/>
      <c r="S153" s="65">
        <f t="shared" si="65"/>
        <v>59400</v>
      </c>
      <c r="T153" s="39"/>
      <c r="U153" s="39">
        <f>25000*1.08</f>
        <v>27000</v>
      </c>
      <c r="V153" s="39">
        <v>32400</v>
      </c>
      <c r="W153" s="39"/>
      <c r="X153" s="39"/>
      <c r="Y153" s="39"/>
      <c r="Z153" s="61" t="s">
        <v>117</v>
      </c>
      <c r="AA153" s="61" t="s">
        <v>128</v>
      </c>
      <c r="AB153" s="61" t="s">
        <v>128</v>
      </c>
      <c r="AC153" s="61" t="s">
        <v>128</v>
      </c>
      <c r="AD153" s="61" t="s">
        <v>128</v>
      </c>
      <c r="AE153" s="61" t="s">
        <v>128</v>
      </c>
      <c r="AF153" s="61" t="s">
        <v>128</v>
      </c>
      <c r="AG153" s="61" t="s">
        <v>128</v>
      </c>
      <c r="AH153" s="61" t="s">
        <v>128</v>
      </c>
      <c r="AI153" s="60">
        <v>200000</v>
      </c>
      <c r="AJ153" s="60" t="s">
        <v>197</v>
      </c>
      <c r="AK153" s="37">
        <f>25*25</f>
        <v>625</v>
      </c>
      <c r="AL153" s="37">
        <v>1</v>
      </c>
      <c r="AM153" s="37">
        <v>13</v>
      </c>
      <c r="AN153" s="38" t="s">
        <v>128</v>
      </c>
      <c r="AO153" s="70">
        <f t="shared" si="76"/>
        <v>31595520</v>
      </c>
      <c r="AP153" s="39" t="s">
        <v>118</v>
      </c>
      <c r="AQ153" s="38" t="s">
        <v>153</v>
      </c>
      <c r="AR153" s="38" t="s">
        <v>118</v>
      </c>
      <c r="AS153" s="38" t="s">
        <v>118</v>
      </c>
      <c r="AT153" s="38" t="s">
        <v>118</v>
      </c>
      <c r="AU153" s="38" t="s">
        <v>111</v>
      </c>
      <c r="AV153" s="40" t="s">
        <v>116</v>
      </c>
      <c r="AW153" s="38" t="s">
        <v>116</v>
      </c>
      <c r="AX153" s="40" t="e">
        <f t="shared" si="77"/>
        <v>#VALUE!</v>
      </c>
      <c r="AY153" s="41" t="str">
        <f t="shared" si="74"/>
        <v>70-80</v>
      </c>
      <c r="AZ153" s="75"/>
      <c r="BA153" s="35"/>
      <c r="BB153" s="35"/>
    </row>
    <row r="154" spans="1:56">
      <c r="A154" s="39" t="s">
        <v>97</v>
      </c>
      <c r="B154" s="39" t="s">
        <v>98</v>
      </c>
      <c r="C154" s="39" t="s">
        <v>188</v>
      </c>
      <c r="D154" s="39" t="e">
        <f>G154+H154+S154+Z154+AF154</f>
        <v>#VALUE!</v>
      </c>
      <c r="E154" s="64">
        <f t="shared" si="67"/>
        <v>888400</v>
      </c>
      <c r="F154" s="179">
        <f t="shared" si="75"/>
        <v>0.72940117064385412</v>
      </c>
      <c r="G154" s="39">
        <f>1.08*600000</f>
        <v>648000</v>
      </c>
      <c r="H154" s="39">
        <v>100000</v>
      </c>
      <c r="I154" s="45">
        <f t="shared" si="73"/>
        <v>48600</v>
      </c>
      <c r="J154" s="39">
        <f>25000*1.08</f>
        <v>27000</v>
      </c>
      <c r="K154" s="39"/>
      <c r="L154" s="39"/>
      <c r="M154" s="39"/>
      <c r="N154" s="39"/>
      <c r="O154" s="39"/>
      <c r="P154" s="39"/>
      <c r="Q154" s="39">
        <v>21600</v>
      </c>
      <c r="R154" s="39"/>
      <c r="S154" s="65">
        <f t="shared" si="65"/>
        <v>91800</v>
      </c>
      <c r="T154" s="39"/>
      <c r="U154" s="39">
        <f>25000*1.08</f>
        <v>27000</v>
      </c>
      <c r="V154" s="39">
        <v>32400</v>
      </c>
      <c r="W154" s="39">
        <v>32400</v>
      </c>
      <c r="X154" s="39"/>
      <c r="Y154" s="39"/>
      <c r="Z154" s="61" t="s">
        <v>117</v>
      </c>
      <c r="AA154" s="61" t="s">
        <v>128</v>
      </c>
      <c r="AB154" s="61" t="s">
        <v>128</v>
      </c>
      <c r="AC154" s="61" t="s">
        <v>128</v>
      </c>
      <c r="AD154" s="61" t="s">
        <v>128</v>
      </c>
      <c r="AE154" s="61" t="s">
        <v>128</v>
      </c>
      <c r="AF154" s="61" t="s">
        <v>128</v>
      </c>
      <c r="AG154" s="61" t="s">
        <v>128</v>
      </c>
      <c r="AH154" s="61" t="s">
        <v>128</v>
      </c>
      <c r="AI154" s="60">
        <v>200000</v>
      </c>
      <c r="AJ154" s="60" t="s">
        <v>197</v>
      </c>
      <c r="AK154" s="37">
        <f>25*25</f>
        <v>625</v>
      </c>
      <c r="AL154" s="37">
        <v>2</v>
      </c>
      <c r="AM154" s="37">
        <v>13</v>
      </c>
      <c r="AN154" s="38" t="s">
        <v>128</v>
      </c>
      <c r="AO154" s="70">
        <f t="shared" si="76"/>
        <v>37526016</v>
      </c>
      <c r="AP154" s="39" t="s">
        <v>118</v>
      </c>
      <c r="AQ154" s="38" t="s">
        <v>153</v>
      </c>
      <c r="AR154" s="38" t="s">
        <v>118</v>
      </c>
      <c r="AS154" s="38" t="s">
        <v>118</v>
      </c>
      <c r="AT154" s="38" t="s">
        <v>118</v>
      </c>
      <c r="AU154" s="38" t="s">
        <v>111</v>
      </c>
      <c r="AV154" s="40" t="s">
        <v>116</v>
      </c>
      <c r="AW154" s="38" t="s">
        <v>116</v>
      </c>
      <c r="AX154" s="40" t="e">
        <f t="shared" si="77"/>
        <v>#VALUE!</v>
      </c>
      <c r="AY154" s="41" t="str">
        <f t="shared" si="74"/>
        <v>70-80</v>
      </c>
      <c r="AZ154" s="75"/>
      <c r="BA154" s="35"/>
      <c r="BB154" s="35"/>
    </row>
    <row r="155" spans="1:56">
      <c r="A155" s="39" t="s">
        <v>97</v>
      </c>
      <c r="B155" s="39" t="s">
        <v>98</v>
      </c>
      <c r="C155" s="39" t="s">
        <v>188</v>
      </c>
      <c r="D155" s="39" t="e">
        <f>G155+H155+S155+Z155+AF155</f>
        <v>#VALUE!</v>
      </c>
      <c r="E155" s="64">
        <f t="shared" si="67"/>
        <v>518400</v>
      </c>
      <c r="F155" s="179">
        <f t="shared" si="75"/>
        <v>0.79166666666666663</v>
      </c>
      <c r="G155" s="39">
        <f>1.08*380000</f>
        <v>410400</v>
      </c>
      <c r="H155" s="39">
        <v>0</v>
      </c>
      <c r="I155" s="45">
        <f t="shared" si="73"/>
        <v>48600</v>
      </c>
      <c r="J155" s="39">
        <f>25000*1.08</f>
        <v>27000</v>
      </c>
      <c r="K155" s="39"/>
      <c r="L155" s="39"/>
      <c r="M155" s="39"/>
      <c r="N155" s="39"/>
      <c r="O155" s="39"/>
      <c r="P155" s="39"/>
      <c r="Q155" s="39">
        <v>21600</v>
      </c>
      <c r="R155" s="39"/>
      <c r="S155" s="65">
        <f t="shared" si="65"/>
        <v>59400</v>
      </c>
      <c r="T155" s="39"/>
      <c r="U155" s="39">
        <f>25000*1.08</f>
        <v>27000</v>
      </c>
      <c r="V155" s="39">
        <v>32400</v>
      </c>
      <c r="W155" s="39"/>
      <c r="X155" s="39"/>
      <c r="Y155" s="39"/>
      <c r="Z155" s="61" t="s">
        <v>117</v>
      </c>
      <c r="AA155" s="61" t="s">
        <v>128</v>
      </c>
      <c r="AB155" s="61" t="s">
        <v>128</v>
      </c>
      <c r="AC155" s="61" t="s">
        <v>128</v>
      </c>
      <c r="AD155" s="61" t="s">
        <v>128</v>
      </c>
      <c r="AE155" s="61" t="s">
        <v>128</v>
      </c>
      <c r="AF155" s="61" t="s">
        <v>128</v>
      </c>
      <c r="AG155" s="61" t="s">
        <v>128</v>
      </c>
      <c r="AH155" s="61" t="s">
        <v>128</v>
      </c>
      <c r="AI155" s="60">
        <v>200000</v>
      </c>
      <c r="AJ155" s="60" t="s">
        <v>153</v>
      </c>
      <c r="AK155" s="37">
        <f>25*25</f>
        <v>625</v>
      </c>
      <c r="AL155" s="37">
        <v>1</v>
      </c>
      <c r="AM155" s="37" t="s">
        <v>131</v>
      </c>
      <c r="AN155" s="38" t="s">
        <v>128</v>
      </c>
      <c r="AO155" s="70">
        <f t="shared" si="76"/>
        <v>21897215.999999996</v>
      </c>
      <c r="AP155" s="39" t="s">
        <v>118</v>
      </c>
      <c r="AQ155" s="38" t="s">
        <v>153</v>
      </c>
      <c r="AR155" s="38" t="s">
        <v>118</v>
      </c>
      <c r="AS155" s="38" t="s">
        <v>118</v>
      </c>
      <c r="AT155" s="38" t="s">
        <v>118</v>
      </c>
      <c r="AU155" s="38" t="s">
        <v>111</v>
      </c>
      <c r="AV155" s="40" t="s">
        <v>116</v>
      </c>
      <c r="AW155" s="38" t="s">
        <v>116</v>
      </c>
      <c r="AX155" s="40" t="e">
        <f t="shared" si="77"/>
        <v>#VALUE!</v>
      </c>
      <c r="AY155" s="41" t="str">
        <f t="shared" si="74"/>
        <v>50-60</v>
      </c>
      <c r="AZ155" s="75"/>
      <c r="BA155" s="35"/>
      <c r="BB155" s="35"/>
    </row>
    <row r="156" spans="1:56" ht="13.5" customHeight="1">
      <c r="E156" s="51"/>
      <c r="F156" s="51"/>
      <c r="G156" s="51"/>
      <c r="H156" s="51"/>
      <c r="I156" s="51"/>
      <c r="J156" s="51"/>
      <c r="K156" s="51"/>
      <c r="L156" s="51"/>
      <c r="M156" s="51"/>
      <c r="N156" s="51"/>
      <c r="O156" s="51"/>
      <c r="P156" s="51"/>
      <c r="Q156" s="51"/>
      <c r="R156" s="51"/>
      <c r="S156" s="51"/>
      <c r="T156" s="51"/>
      <c r="U156" s="51"/>
      <c r="V156" s="51"/>
      <c r="W156" s="51"/>
      <c r="X156" s="51"/>
      <c r="Y156" s="51"/>
      <c r="Z156" s="62"/>
      <c r="AA156" s="62"/>
      <c r="AB156" s="62"/>
      <c r="AC156" s="62"/>
      <c r="AD156" s="62"/>
      <c r="AE156" s="62"/>
      <c r="AF156" s="62"/>
      <c r="AG156" s="62"/>
      <c r="AH156" s="62"/>
      <c r="AI156" s="62"/>
      <c r="AJ156" s="62"/>
      <c r="AK156" s="35"/>
      <c r="AL156" s="50"/>
      <c r="AM156" s="50"/>
      <c r="AN156" s="35"/>
      <c r="AO156" s="35"/>
      <c r="AP156" s="51"/>
      <c r="AQ156" s="35"/>
      <c r="AR156" s="35"/>
      <c r="AS156" s="35"/>
      <c r="AT156" s="35"/>
      <c r="AU156" s="35"/>
      <c r="AV156" s="52"/>
      <c r="AW156" s="35"/>
      <c r="AX156" s="53"/>
      <c r="AY156" s="54"/>
    </row>
    <row r="157" spans="1:56" ht="13.5" customHeight="1">
      <c r="E157" s="51"/>
      <c r="F157" s="51"/>
      <c r="G157" s="51"/>
      <c r="H157" s="51"/>
      <c r="I157" s="51"/>
      <c r="J157" s="51"/>
      <c r="K157" s="51"/>
      <c r="L157" s="51"/>
      <c r="M157" s="51"/>
      <c r="N157" s="51"/>
      <c r="O157" s="51"/>
      <c r="P157" s="51"/>
      <c r="Q157" s="51"/>
      <c r="R157" s="51"/>
      <c r="S157" s="51"/>
      <c r="T157" s="51"/>
      <c r="U157" s="51"/>
      <c r="V157" s="51"/>
      <c r="W157" s="51"/>
      <c r="X157" s="51"/>
      <c r="Y157" s="51"/>
      <c r="Z157" s="62"/>
      <c r="AA157" s="62"/>
      <c r="AB157" s="62"/>
      <c r="AC157" s="62"/>
      <c r="AD157" s="62"/>
      <c r="AE157" s="62"/>
      <c r="AF157" s="62"/>
      <c r="AG157" s="62"/>
      <c r="AH157" s="62"/>
      <c r="AI157" s="62"/>
      <c r="AJ157" s="62"/>
      <c r="AK157" s="35"/>
      <c r="AL157" s="50"/>
      <c r="AM157" s="50"/>
      <c r="AN157" s="35"/>
      <c r="AO157" s="35"/>
      <c r="AP157" s="51"/>
      <c r="AQ157" s="35"/>
      <c r="AR157" s="35"/>
      <c r="AS157" s="35"/>
      <c r="AT157" s="35"/>
      <c r="AU157" s="35"/>
      <c r="AV157" s="52"/>
      <c r="AW157" s="35"/>
      <c r="AX157" s="35"/>
      <c r="AY157" s="54"/>
    </row>
    <row r="158" spans="1:56" ht="13.5" customHeight="1">
      <c r="E158" s="51"/>
      <c r="F158" s="51"/>
      <c r="G158" s="51"/>
      <c r="H158" s="51"/>
      <c r="I158" s="51"/>
      <c r="J158" s="51"/>
      <c r="K158" s="51"/>
      <c r="L158" s="51"/>
      <c r="M158" s="51"/>
      <c r="N158" s="51"/>
      <c r="O158" s="51"/>
      <c r="P158" s="51"/>
      <c r="Q158" s="51"/>
      <c r="R158" s="51"/>
      <c r="S158" s="51"/>
      <c r="T158" s="51"/>
      <c r="U158" s="51"/>
      <c r="V158" s="51"/>
      <c r="W158" s="51"/>
      <c r="X158" s="51"/>
      <c r="Y158" s="51"/>
      <c r="Z158" s="62"/>
      <c r="AA158" s="62"/>
      <c r="AB158" s="62"/>
      <c r="AC158" s="62"/>
      <c r="AD158" s="62"/>
      <c r="AE158" s="62"/>
      <c r="AF158" s="62"/>
      <c r="AG158" s="62"/>
      <c r="AH158" s="62"/>
      <c r="AI158" s="62"/>
      <c r="AJ158" s="62"/>
      <c r="AK158" s="35"/>
      <c r="AL158" s="50"/>
      <c r="AM158" s="50"/>
      <c r="AN158" s="35"/>
      <c r="AO158" s="35"/>
      <c r="AP158" s="51"/>
      <c r="AQ158" s="35"/>
      <c r="AR158" s="35"/>
      <c r="AS158" s="35"/>
      <c r="AT158" s="35"/>
      <c r="AU158" s="35"/>
      <c r="AV158" s="52"/>
      <c r="AW158" s="35"/>
      <c r="AX158" s="35"/>
      <c r="AY158" s="54"/>
    </row>
    <row r="159" spans="1:56" ht="13.5" customHeight="1"/>
    <row r="160" spans="1:56"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sheetData>
  <autoFilter ref="A5:BJ155" xr:uid="{00000000-0009-0000-0000-000000000000}">
    <sortState ref="A6:BI155">
      <sortCondition ref="E5:E155"/>
    </sortState>
  </autoFilter>
  <phoneticPr fontId="11"/>
  <pageMargins left="0.25" right="0.25" top="0.75" bottom="0.75" header="0.3" footer="0.3"/>
  <pageSetup paperSize="8" scale="29"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46"/>
  <sheetViews>
    <sheetView zoomScale="70" zoomScaleNormal="70" workbookViewId="0">
      <selection activeCell="E32" sqref="E32:E33"/>
    </sheetView>
  </sheetViews>
  <sheetFormatPr baseColWidth="10" defaultColWidth="8.83203125" defaultRowHeight="14"/>
  <cols>
    <col min="1" max="1" width="3.1640625" customWidth="1"/>
    <col min="2" max="2" width="19.1640625" bestFit="1" customWidth="1"/>
    <col min="3" max="4" width="11" customWidth="1"/>
    <col min="5" max="5" width="59.1640625" customWidth="1"/>
    <col min="6" max="6" width="9.6640625" bestFit="1" customWidth="1"/>
    <col min="7" max="7" width="37.1640625" customWidth="1"/>
    <col min="8" max="8" width="9.6640625" bestFit="1" customWidth="1"/>
    <col min="9" max="9" width="13.83203125" bestFit="1" customWidth="1"/>
    <col min="10" max="10" width="9.6640625" bestFit="1" customWidth="1"/>
    <col min="11" max="11" width="19.83203125" bestFit="1" customWidth="1"/>
    <col min="12" max="12" width="9.6640625" bestFit="1" customWidth="1"/>
    <col min="13" max="13" width="19.83203125" bestFit="1" customWidth="1"/>
  </cols>
  <sheetData>
    <row r="1" spans="1:13" ht="15">
      <c r="A1" s="132" t="s">
        <v>279</v>
      </c>
      <c r="M1" s="126" t="s">
        <v>256</v>
      </c>
    </row>
    <row r="2" spans="1:13">
      <c r="A2" s="125" t="s">
        <v>199</v>
      </c>
      <c r="B2" s="125" t="s">
        <v>204</v>
      </c>
      <c r="C2" s="125" t="s">
        <v>227</v>
      </c>
      <c r="D2" s="125" t="s">
        <v>205</v>
      </c>
      <c r="E2" s="125" t="s">
        <v>229</v>
      </c>
      <c r="F2" s="125" t="s">
        <v>250</v>
      </c>
      <c r="G2" s="125" t="s">
        <v>201</v>
      </c>
      <c r="H2" s="125" t="s">
        <v>251</v>
      </c>
      <c r="I2" s="125" t="s">
        <v>201</v>
      </c>
      <c r="J2" s="125" t="s">
        <v>252</v>
      </c>
      <c r="K2" s="125" t="s">
        <v>201</v>
      </c>
      <c r="L2" s="125" t="s">
        <v>253</v>
      </c>
      <c r="M2" s="125" t="s">
        <v>201</v>
      </c>
    </row>
    <row r="3" spans="1:13" ht="15">
      <c r="A3" s="125">
        <f>ROW()-2</f>
        <v>1</v>
      </c>
      <c r="B3" s="125" t="s">
        <v>200</v>
      </c>
      <c r="C3" s="125"/>
      <c r="D3" s="125" t="s">
        <v>200</v>
      </c>
      <c r="E3" s="125" t="s">
        <v>249</v>
      </c>
      <c r="F3" s="134" t="s">
        <v>255</v>
      </c>
      <c r="G3" s="129" t="s">
        <v>280</v>
      </c>
      <c r="H3" s="125" t="s">
        <v>254</v>
      </c>
      <c r="I3" s="125" t="s">
        <v>257</v>
      </c>
      <c r="J3" s="125" t="s">
        <v>258</v>
      </c>
      <c r="K3" s="125" t="s">
        <v>259</v>
      </c>
      <c r="L3" s="125" t="s">
        <v>260</v>
      </c>
      <c r="M3" s="125" t="s">
        <v>259</v>
      </c>
    </row>
    <row r="4" spans="1:13" ht="15">
      <c r="A4" s="125">
        <f t="shared" ref="A4:A10" si="0">ROW()-2</f>
        <v>2</v>
      </c>
      <c r="B4" s="125" t="s">
        <v>206</v>
      </c>
      <c r="C4" s="125"/>
      <c r="D4" s="125" t="s">
        <v>202</v>
      </c>
      <c r="E4" s="125" t="s">
        <v>230</v>
      </c>
      <c r="F4" s="128" t="s">
        <v>263</v>
      </c>
      <c r="G4" s="129" t="s">
        <v>262</v>
      </c>
      <c r="H4" s="125" t="s">
        <v>261</v>
      </c>
      <c r="I4" s="125" t="s">
        <v>261</v>
      </c>
      <c r="J4" s="125" t="s">
        <v>261</v>
      </c>
      <c r="K4" s="125" t="s">
        <v>261</v>
      </c>
      <c r="L4" s="125" t="s">
        <v>261</v>
      </c>
      <c r="M4" s="125" t="s">
        <v>261</v>
      </c>
    </row>
    <row r="5" spans="1:13" ht="15">
      <c r="A5" s="125">
        <f t="shared" si="0"/>
        <v>3</v>
      </c>
      <c r="B5" s="125"/>
      <c r="C5" s="125"/>
      <c r="D5" s="125" t="s">
        <v>203</v>
      </c>
      <c r="E5" s="125" t="s">
        <v>231</v>
      </c>
      <c r="F5" s="128" t="s">
        <v>264</v>
      </c>
      <c r="G5" s="129" t="s">
        <v>265</v>
      </c>
      <c r="H5" s="125" t="s">
        <v>261</v>
      </c>
      <c r="I5" s="125" t="s">
        <v>261</v>
      </c>
      <c r="J5" s="125" t="s">
        <v>261</v>
      </c>
      <c r="K5" s="125" t="s">
        <v>261</v>
      </c>
      <c r="L5" s="125" t="s">
        <v>261</v>
      </c>
      <c r="M5" s="125" t="s">
        <v>261</v>
      </c>
    </row>
    <row r="6" spans="1:13" ht="15">
      <c r="A6" s="125">
        <f t="shared" si="0"/>
        <v>4</v>
      </c>
      <c r="B6" s="125" t="s">
        <v>207</v>
      </c>
      <c r="C6" s="125" t="s">
        <v>207</v>
      </c>
      <c r="D6" s="125" t="s">
        <v>208</v>
      </c>
      <c r="E6" s="125" t="s">
        <v>232</v>
      </c>
      <c r="F6" s="128" t="s">
        <v>266</v>
      </c>
      <c r="G6" s="129" t="s">
        <v>267</v>
      </c>
      <c r="H6" s="125" t="s">
        <v>261</v>
      </c>
      <c r="I6" s="125" t="s">
        <v>261</v>
      </c>
      <c r="J6" s="125" t="s">
        <v>261</v>
      </c>
      <c r="K6" s="125" t="s">
        <v>261</v>
      </c>
      <c r="L6" s="125" t="s">
        <v>261</v>
      </c>
      <c r="M6" s="125" t="s">
        <v>261</v>
      </c>
    </row>
    <row r="7" spans="1:13" ht="15">
      <c r="A7" s="125">
        <f t="shared" si="0"/>
        <v>5</v>
      </c>
      <c r="B7" s="125"/>
      <c r="C7" s="125"/>
      <c r="D7" s="125" t="s">
        <v>209</v>
      </c>
      <c r="E7" s="125" t="s">
        <v>232</v>
      </c>
      <c r="F7" s="134" t="s">
        <v>268</v>
      </c>
      <c r="G7" s="133" t="s">
        <v>281</v>
      </c>
      <c r="H7" s="125" t="s">
        <v>261</v>
      </c>
      <c r="I7" s="125" t="s">
        <v>261</v>
      </c>
      <c r="J7" s="125" t="s">
        <v>261</v>
      </c>
      <c r="K7" s="125" t="s">
        <v>261</v>
      </c>
      <c r="L7" s="125" t="s">
        <v>261</v>
      </c>
      <c r="M7" s="125" t="s">
        <v>261</v>
      </c>
    </row>
    <row r="8" spans="1:13" ht="15">
      <c r="A8" s="125">
        <f t="shared" si="0"/>
        <v>6</v>
      </c>
      <c r="B8" s="125"/>
      <c r="C8" s="125"/>
      <c r="D8" s="125" t="s">
        <v>66</v>
      </c>
      <c r="E8" s="125" t="s">
        <v>233</v>
      </c>
      <c r="F8" s="134" t="s">
        <v>269</v>
      </c>
      <c r="G8" s="133" t="s">
        <v>282</v>
      </c>
      <c r="H8" s="125" t="s">
        <v>143</v>
      </c>
      <c r="I8" s="125" t="s">
        <v>143</v>
      </c>
      <c r="J8" s="125" t="s">
        <v>143</v>
      </c>
      <c r="K8" s="125" t="s">
        <v>143</v>
      </c>
      <c r="L8" s="125" t="s">
        <v>143</v>
      </c>
      <c r="M8" s="125" t="s">
        <v>143</v>
      </c>
    </row>
    <row r="9" spans="1:13" ht="15">
      <c r="A9" s="125">
        <f t="shared" si="0"/>
        <v>7</v>
      </c>
      <c r="B9" s="125"/>
      <c r="C9" s="125"/>
      <c r="D9" s="125" t="s">
        <v>63</v>
      </c>
      <c r="E9" s="125" t="s">
        <v>234</v>
      </c>
      <c r="F9" s="134">
        <v>5</v>
      </c>
      <c r="G9" s="133" t="s">
        <v>282</v>
      </c>
      <c r="H9" s="125" t="s">
        <v>143</v>
      </c>
      <c r="I9" s="125" t="s">
        <v>143</v>
      </c>
      <c r="J9" s="125" t="s">
        <v>143</v>
      </c>
      <c r="K9" s="125" t="s">
        <v>143</v>
      </c>
      <c r="L9" s="125" t="s">
        <v>143</v>
      </c>
      <c r="M9" s="125" t="s">
        <v>143</v>
      </c>
    </row>
    <row r="10" spans="1:13" ht="15">
      <c r="A10" s="125">
        <f t="shared" si="0"/>
        <v>8</v>
      </c>
      <c r="B10" s="125"/>
      <c r="C10" s="125" t="s">
        <v>212</v>
      </c>
      <c r="D10" s="125" t="s">
        <v>64</v>
      </c>
      <c r="E10" s="125" t="s">
        <v>235</v>
      </c>
      <c r="F10" s="128">
        <v>1.5</v>
      </c>
      <c r="G10" s="129" t="s">
        <v>261</v>
      </c>
      <c r="H10" s="125" t="s">
        <v>143</v>
      </c>
      <c r="I10" s="125" t="s">
        <v>143</v>
      </c>
      <c r="J10" s="125" t="s">
        <v>143</v>
      </c>
      <c r="K10" s="125" t="s">
        <v>143</v>
      </c>
      <c r="L10" s="125" t="s">
        <v>143</v>
      </c>
      <c r="M10" s="125" t="s">
        <v>143</v>
      </c>
    </row>
    <row r="11" spans="1:13" ht="15">
      <c r="A11" s="125">
        <f t="shared" ref="A11:A28" si="1">ROW()-2</f>
        <v>9</v>
      </c>
      <c r="B11" s="125"/>
      <c r="C11" s="125"/>
      <c r="D11" s="125" t="s">
        <v>65</v>
      </c>
      <c r="E11" s="125" t="s">
        <v>235</v>
      </c>
      <c r="F11" s="128">
        <v>2</v>
      </c>
      <c r="G11" s="129" t="s">
        <v>261</v>
      </c>
      <c r="H11" s="125" t="s">
        <v>143</v>
      </c>
      <c r="I11" s="125" t="s">
        <v>143</v>
      </c>
      <c r="J11" s="125" t="s">
        <v>143</v>
      </c>
      <c r="K11" s="125" t="s">
        <v>143</v>
      </c>
      <c r="L11" s="125" t="s">
        <v>143</v>
      </c>
      <c r="M11" s="125" t="s">
        <v>143</v>
      </c>
    </row>
    <row r="12" spans="1:13" ht="15">
      <c r="A12" s="125">
        <f t="shared" si="1"/>
        <v>10</v>
      </c>
      <c r="B12" s="125"/>
      <c r="C12" s="125"/>
      <c r="D12" s="125" t="s">
        <v>210</v>
      </c>
      <c r="E12" s="125" t="s">
        <v>235</v>
      </c>
      <c r="F12" s="128">
        <v>3</v>
      </c>
      <c r="G12" s="129" t="s">
        <v>261</v>
      </c>
      <c r="H12" s="125" t="s">
        <v>143</v>
      </c>
      <c r="I12" s="125" t="s">
        <v>143</v>
      </c>
      <c r="J12" s="125" t="s">
        <v>143</v>
      </c>
      <c r="K12" s="125" t="s">
        <v>143</v>
      </c>
      <c r="L12" s="125" t="s">
        <v>143</v>
      </c>
      <c r="M12" s="125" t="s">
        <v>143</v>
      </c>
    </row>
    <row r="13" spans="1:13" ht="15">
      <c r="A13" s="125">
        <f t="shared" si="1"/>
        <v>11</v>
      </c>
      <c r="B13" s="125"/>
      <c r="C13" s="125"/>
      <c r="D13" s="125" t="s">
        <v>211</v>
      </c>
      <c r="E13" s="125" t="s">
        <v>235</v>
      </c>
      <c r="F13" s="134" t="s">
        <v>270</v>
      </c>
      <c r="G13" s="130" t="s">
        <v>235</v>
      </c>
      <c r="H13" s="125" t="s">
        <v>143</v>
      </c>
      <c r="I13" s="125" t="s">
        <v>143</v>
      </c>
      <c r="J13" s="125" t="s">
        <v>143</v>
      </c>
      <c r="K13" s="125" t="s">
        <v>143</v>
      </c>
      <c r="L13" s="125" t="s">
        <v>143</v>
      </c>
      <c r="M13" s="125" t="s">
        <v>143</v>
      </c>
    </row>
    <row r="14" spans="1:13" ht="30">
      <c r="A14" s="125">
        <f t="shared" si="1"/>
        <v>12</v>
      </c>
      <c r="B14" s="125"/>
      <c r="C14" s="125"/>
      <c r="D14" s="125" t="s">
        <v>213</v>
      </c>
      <c r="E14" s="125" t="s">
        <v>236</v>
      </c>
      <c r="F14" s="134" t="s">
        <v>271</v>
      </c>
      <c r="G14" s="129" t="s">
        <v>545</v>
      </c>
      <c r="H14" s="125" t="s">
        <v>143</v>
      </c>
      <c r="I14" s="125" t="s">
        <v>143</v>
      </c>
      <c r="J14" s="125" t="s">
        <v>143</v>
      </c>
      <c r="K14" s="125" t="s">
        <v>143</v>
      </c>
      <c r="L14" s="125" t="s">
        <v>143</v>
      </c>
      <c r="M14" s="125" t="s">
        <v>143</v>
      </c>
    </row>
    <row r="15" spans="1:13" ht="15">
      <c r="A15" s="125">
        <f t="shared" si="1"/>
        <v>13</v>
      </c>
      <c r="B15" s="125" t="s">
        <v>214</v>
      </c>
      <c r="C15" s="125"/>
      <c r="D15" s="125" t="s">
        <v>218</v>
      </c>
      <c r="E15" s="125" t="s">
        <v>237</v>
      </c>
      <c r="F15" s="128" t="s">
        <v>272</v>
      </c>
      <c r="G15" s="129" t="s">
        <v>237</v>
      </c>
      <c r="H15" s="125" t="s">
        <v>143</v>
      </c>
      <c r="I15" s="125" t="s">
        <v>143</v>
      </c>
      <c r="J15" s="125" t="s">
        <v>143</v>
      </c>
      <c r="K15" s="125" t="s">
        <v>143</v>
      </c>
      <c r="L15" s="125" t="s">
        <v>143</v>
      </c>
      <c r="M15" s="125" t="s">
        <v>143</v>
      </c>
    </row>
    <row r="16" spans="1:13" ht="15">
      <c r="A16" s="125">
        <f t="shared" si="1"/>
        <v>14</v>
      </c>
      <c r="B16" s="125"/>
      <c r="C16" s="125"/>
      <c r="D16" s="125" t="s">
        <v>215</v>
      </c>
      <c r="E16" s="125" t="s">
        <v>238</v>
      </c>
      <c r="F16" s="128">
        <v>1</v>
      </c>
      <c r="G16" s="129" t="s">
        <v>143</v>
      </c>
      <c r="H16" s="125" t="s">
        <v>143</v>
      </c>
      <c r="I16" s="125" t="s">
        <v>143</v>
      </c>
      <c r="J16" s="125" t="s">
        <v>143</v>
      </c>
      <c r="K16" s="125" t="s">
        <v>143</v>
      </c>
      <c r="L16" s="125" t="s">
        <v>143</v>
      </c>
      <c r="M16" s="125" t="s">
        <v>143</v>
      </c>
    </row>
    <row r="17" spans="1:13" ht="15">
      <c r="A17" s="125">
        <f t="shared" si="1"/>
        <v>15</v>
      </c>
      <c r="B17" s="125"/>
      <c r="C17" s="125"/>
      <c r="D17" s="125" t="s">
        <v>216</v>
      </c>
      <c r="E17" s="125" t="s">
        <v>239</v>
      </c>
      <c r="F17" s="128">
        <v>3</v>
      </c>
      <c r="G17" s="129" t="s">
        <v>143</v>
      </c>
      <c r="H17" s="125" t="s">
        <v>143</v>
      </c>
      <c r="I17" s="125" t="s">
        <v>143</v>
      </c>
      <c r="J17" s="125" t="s">
        <v>143</v>
      </c>
      <c r="K17" s="125" t="s">
        <v>143</v>
      </c>
      <c r="L17" s="125" t="s">
        <v>143</v>
      </c>
      <c r="M17" s="125" t="s">
        <v>143</v>
      </c>
    </row>
    <row r="18" spans="1:13" ht="15">
      <c r="A18" s="125">
        <f t="shared" si="1"/>
        <v>16</v>
      </c>
      <c r="B18" s="125"/>
      <c r="C18" s="125"/>
      <c r="D18" s="125" t="s">
        <v>217</v>
      </c>
      <c r="E18" s="125" t="s">
        <v>239</v>
      </c>
      <c r="F18" s="134" t="s">
        <v>273</v>
      </c>
      <c r="G18" s="129" t="s">
        <v>546</v>
      </c>
      <c r="H18" s="125" t="s">
        <v>143</v>
      </c>
      <c r="I18" s="125" t="s">
        <v>143</v>
      </c>
      <c r="J18" s="125" t="s">
        <v>143</v>
      </c>
      <c r="K18" s="125" t="s">
        <v>143</v>
      </c>
      <c r="L18" s="125" t="s">
        <v>143</v>
      </c>
      <c r="M18" s="125" t="s">
        <v>143</v>
      </c>
    </row>
    <row r="19" spans="1:13">
      <c r="A19" s="125">
        <f t="shared" si="1"/>
        <v>17</v>
      </c>
      <c r="B19" s="125" t="s">
        <v>224</v>
      </c>
      <c r="C19" s="125" t="s">
        <v>225</v>
      </c>
      <c r="D19" s="125" t="s">
        <v>219</v>
      </c>
      <c r="E19" s="125" t="s">
        <v>240</v>
      </c>
      <c r="F19" s="128" t="s">
        <v>274</v>
      </c>
      <c r="G19" s="125" t="s">
        <v>143</v>
      </c>
      <c r="H19" s="125" t="s">
        <v>143</v>
      </c>
      <c r="I19" s="125" t="s">
        <v>143</v>
      </c>
      <c r="J19" s="125" t="s">
        <v>143</v>
      </c>
      <c r="K19" s="125" t="s">
        <v>143</v>
      </c>
      <c r="L19" s="125" t="s">
        <v>143</v>
      </c>
      <c r="M19" s="125" t="s">
        <v>143</v>
      </c>
    </row>
    <row r="20" spans="1:13">
      <c r="A20" s="125">
        <f t="shared" si="1"/>
        <v>18</v>
      </c>
      <c r="B20" s="125"/>
      <c r="C20" s="125"/>
      <c r="D20" s="125" t="s">
        <v>241</v>
      </c>
      <c r="E20" s="125" t="s">
        <v>242</v>
      </c>
      <c r="F20" s="135" t="s">
        <v>275</v>
      </c>
      <c r="G20" s="127" t="s">
        <v>242</v>
      </c>
      <c r="H20" s="125" t="s">
        <v>143</v>
      </c>
      <c r="I20" s="125" t="s">
        <v>143</v>
      </c>
      <c r="J20" s="125" t="s">
        <v>143</v>
      </c>
      <c r="K20" s="125" t="s">
        <v>143</v>
      </c>
      <c r="L20" s="125" t="s">
        <v>143</v>
      </c>
      <c r="M20" s="125" t="s">
        <v>143</v>
      </c>
    </row>
    <row r="21" spans="1:13">
      <c r="A21" s="125">
        <f t="shared" si="1"/>
        <v>19</v>
      </c>
      <c r="B21" s="125"/>
      <c r="C21" s="125"/>
      <c r="D21" s="125" t="s">
        <v>220</v>
      </c>
      <c r="E21" s="125" t="s">
        <v>243</v>
      </c>
      <c r="F21" s="128" t="s">
        <v>276</v>
      </c>
      <c r="G21" s="125" t="s">
        <v>143</v>
      </c>
      <c r="H21" s="125" t="s">
        <v>143</v>
      </c>
      <c r="I21" s="125" t="s">
        <v>143</v>
      </c>
      <c r="J21" s="125" t="s">
        <v>143</v>
      </c>
      <c r="K21" s="125" t="s">
        <v>143</v>
      </c>
      <c r="L21" s="125" t="s">
        <v>143</v>
      </c>
      <c r="M21" s="125" t="s">
        <v>143</v>
      </c>
    </row>
    <row r="22" spans="1:13" ht="15">
      <c r="A22" s="125">
        <f t="shared" si="1"/>
        <v>20</v>
      </c>
      <c r="B22" s="125"/>
      <c r="C22" s="125"/>
      <c r="D22" s="125" t="s">
        <v>221</v>
      </c>
      <c r="E22" s="125" t="s">
        <v>243</v>
      </c>
      <c r="F22" s="128">
        <v>1</v>
      </c>
      <c r="G22" s="129" t="s">
        <v>277</v>
      </c>
      <c r="H22" s="125" t="s">
        <v>143</v>
      </c>
      <c r="I22" s="125" t="s">
        <v>143</v>
      </c>
      <c r="J22" s="125" t="s">
        <v>143</v>
      </c>
      <c r="K22" s="125" t="s">
        <v>143</v>
      </c>
      <c r="L22" s="125" t="s">
        <v>143</v>
      </c>
      <c r="M22" s="125" t="s">
        <v>143</v>
      </c>
    </row>
    <row r="23" spans="1:13">
      <c r="A23" s="125">
        <f t="shared" si="1"/>
        <v>21</v>
      </c>
      <c r="B23" s="125"/>
      <c r="C23" s="125"/>
      <c r="D23" s="125" t="s">
        <v>226</v>
      </c>
      <c r="E23" s="125" t="s">
        <v>244</v>
      </c>
      <c r="F23" s="128">
        <v>20</v>
      </c>
      <c r="G23" s="125" t="s">
        <v>143</v>
      </c>
      <c r="H23" s="125" t="s">
        <v>143</v>
      </c>
      <c r="I23" s="125" t="s">
        <v>143</v>
      </c>
      <c r="J23" s="125" t="s">
        <v>143</v>
      </c>
      <c r="K23" s="125" t="s">
        <v>143</v>
      </c>
      <c r="L23" s="125" t="s">
        <v>143</v>
      </c>
      <c r="M23" s="125" t="s">
        <v>143</v>
      </c>
    </row>
    <row r="24" spans="1:13">
      <c r="A24" s="125">
        <f t="shared" si="1"/>
        <v>22</v>
      </c>
      <c r="B24" s="125"/>
      <c r="C24" s="125" t="s">
        <v>222</v>
      </c>
      <c r="D24" s="125" t="s">
        <v>222</v>
      </c>
      <c r="E24" s="125" t="s">
        <v>245</v>
      </c>
      <c r="F24" s="128">
        <v>0.5</v>
      </c>
      <c r="G24" s="125" t="s">
        <v>143</v>
      </c>
      <c r="H24" s="125" t="s">
        <v>143</v>
      </c>
      <c r="I24" s="125" t="s">
        <v>143</v>
      </c>
      <c r="J24" s="125" t="s">
        <v>143</v>
      </c>
      <c r="K24" s="125" t="s">
        <v>143</v>
      </c>
      <c r="L24" s="125" t="s">
        <v>143</v>
      </c>
      <c r="M24" s="125" t="s">
        <v>143</v>
      </c>
    </row>
    <row r="25" spans="1:13">
      <c r="A25" s="125">
        <f t="shared" si="1"/>
        <v>23</v>
      </c>
      <c r="B25" s="125" t="s">
        <v>223</v>
      </c>
      <c r="C25" s="125" t="s">
        <v>225</v>
      </c>
      <c r="D25" s="125" t="s">
        <v>219</v>
      </c>
      <c r="E25" s="125" t="s">
        <v>240</v>
      </c>
      <c r="F25" s="128" t="s">
        <v>274</v>
      </c>
      <c r="G25" s="125" t="s">
        <v>143</v>
      </c>
      <c r="H25" s="125" t="s">
        <v>143</v>
      </c>
      <c r="I25" s="125" t="s">
        <v>143</v>
      </c>
      <c r="J25" s="125" t="s">
        <v>143</v>
      </c>
      <c r="K25" s="125" t="s">
        <v>143</v>
      </c>
      <c r="L25" s="125" t="s">
        <v>143</v>
      </c>
      <c r="M25" s="125" t="s">
        <v>143</v>
      </c>
    </row>
    <row r="26" spans="1:13">
      <c r="A26" s="125">
        <f t="shared" si="1"/>
        <v>24</v>
      </c>
      <c r="B26" s="125"/>
      <c r="C26" s="125"/>
      <c r="D26" s="125" t="s">
        <v>220</v>
      </c>
      <c r="E26" s="125" t="s">
        <v>243</v>
      </c>
      <c r="F26" s="128" t="s">
        <v>276</v>
      </c>
      <c r="G26" s="125" t="s">
        <v>143</v>
      </c>
      <c r="H26" s="125" t="s">
        <v>143</v>
      </c>
      <c r="I26" s="125" t="s">
        <v>143</v>
      </c>
      <c r="J26" s="125" t="s">
        <v>143</v>
      </c>
      <c r="K26" s="125" t="s">
        <v>143</v>
      </c>
      <c r="L26" s="125" t="s">
        <v>143</v>
      </c>
      <c r="M26" s="125" t="s">
        <v>143</v>
      </c>
    </row>
    <row r="27" spans="1:13" ht="15">
      <c r="A27" s="125">
        <f t="shared" si="1"/>
        <v>25</v>
      </c>
      <c r="B27" s="125"/>
      <c r="C27" s="125"/>
      <c r="D27" s="125" t="s">
        <v>221</v>
      </c>
      <c r="E27" s="125" t="s">
        <v>243</v>
      </c>
      <c r="F27" s="128">
        <v>1</v>
      </c>
      <c r="G27" s="129" t="s">
        <v>277</v>
      </c>
      <c r="H27" s="125" t="s">
        <v>143</v>
      </c>
      <c r="I27" s="125" t="s">
        <v>143</v>
      </c>
      <c r="J27" s="125" t="s">
        <v>143</v>
      </c>
      <c r="K27" s="125" t="s">
        <v>143</v>
      </c>
      <c r="L27" s="125" t="s">
        <v>143</v>
      </c>
      <c r="M27" s="125" t="s">
        <v>143</v>
      </c>
    </row>
    <row r="28" spans="1:13" ht="15">
      <c r="A28" s="125">
        <f t="shared" si="1"/>
        <v>26</v>
      </c>
      <c r="B28" s="125"/>
      <c r="C28" s="125" t="s">
        <v>222</v>
      </c>
      <c r="D28" s="125" t="s">
        <v>222</v>
      </c>
      <c r="E28" s="125" t="s">
        <v>245</v>
      </c>
      <c r="F28" s="128">
        <v>0.5</v>
      </c>
      <c r="G28" s="129" t="s">
        <v>143</v>
      </c>
      <c r="H28" s="125" t="s">
        <v>143</v>
      </c>
      <c r="I28" s="125" t="s">
        <v>143</v>
      </c>
      <c r="J28" s="125" t="s">
        <v>143</v>
      </c>
      <c r="K28" s="125" t="s">
        <v>143</v>
      </c>
      <c r="L28" s="125" t="s">
        <v>143</v>
      </c>
      <c r="M28" s="125" t="s">
        <v>143</v>
      </c>
    </row>
    <row r="29" spans="1:13">
      <c r="F29" s="131" t="s">
        <v>278</v>
      </c>
    </row>
    <row r="32" spans="1:13">
      <c r="A32" t="s">
        <v>228</v>
      </c>
    </row>
    <row r="33" spans="1:5">
      <c r="A33" t="s">
        <v>199</v>
      </c>
      <c r="B33" t="s">
        <v>204</v>
      </c>
      <c r="C33" t="s">
        <v>227</v>
      </c>
      <c r="D33" t="s">
        <v>205</v>
      </c>
      <c r="E33" t="s">
        <v>201</v>
      </c>
    </row>
    <row r="34" spans="1:5">
      <c r="A34">
        <f>ROW()-33</f>
        <v>1</v>
      </c>
      <c r="B34" t="s">
        <v>246</v>
      </c>
    </row>
    <row r="35" spans="1:5">
      <c r="A35">
        <f t="shared" ref="A35:A46" si="2">ROW()-33</f>
        <v>2</v>
      </c>
      <c r="B35" t="s">
        <v>247</v>
      </c>
    </row>
    <row r="36" spans="1:5">
      <c r="A36">
        <f t="shared" si="2"/>
        <v>3</v>
      </c>
      <c r="B36" t="s">
        <v>248</v>
      </c>
    </row>
    <row r="37" spans="1:5">
      <c r="A37">
        <f t="shared" si="2"/>
        <v>4</v>
      </c>
    </row>
    <row r="38" spans="1:5">
      <c r="A38">
        <f t="shared" si="2"/>
        <v>5</v>
      </c>
    </row>
    <row r="39" spans="1:5">
      <c r="A39">
        <f t="shared" si="2"/>
        <v>6</v>
      </c>
    </row>
    <row r="40" spans="1:5">
      <c r="A40">
        <f t="shared" si="2"/>
        <v>7</v>
      </c>
    </row>
    <row r="41" spans="1:5">
      <c r="A41">
        <f t="shared" si="2"/>
        <v>8</v>
      </c>
    </row>
    <row r="42" spans="1:5">
      <c r="A42">
        <f t="shared" si="2"/>
        <v>9</v>
      </c>
    </row>
    <row r="43" spans="1:5">
      <c r="A43">
        <f t="shared" si="2"/>
        <v>10</v>
      </c>
    </row>
    <row r="44" spans="1:5">
      <c r="A44">
        <f t="shared" si="2"/>
        <v>11</v>
      </c>
    </row>
    <row r="45" spans="1:5">
      <c r="A45">
        <f t="shared" si="2"/>
        <v>12</v>
      </c>
    </row>
    <row r="46" spans="1:5">
      <c r="A46">
        <f t="shared" si="2"/>
        <v>13</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K27"/>
  <sheetViews>
    <sheetView zoomScale="70" zoomScaleNormal="70" workbookViewId="0">
      <selection activeCell="E26" sqref="E26"/>
    </sheetView>
  </sheetViews>
  <sheetFormatPr baseColWidth="10" defaultColWidth="8.83203125" defaultRowHeight="14"/>
  <cols>
    <col min="1" max="1" width="17.6640625" bestFit="1" customWidth="1"/>
    <col min="2" max="2" width="8.1640625" customWidth="1"/>
    <col min="3" max="3" width="16.5" bestFit="1" customWidth="1"/>
    <col min="4" max="5" width="12.83203125" bestFit="1" customWidth="1"/>
    <col min="6" max="8" width="12.83203125" customWidth="1"/>
    <col min="9" max="9" width="42.6640625" customWidth="1"/>
    <col min="10" max="10" width="32.5" bestFit="1" customWidth="1"/>
    <col min="12" max="12" width="12.83203125" bestFit="1" customWidth="1"/>
    <col min="13" max="13" width="18.6640625" bestFit="1" customWidth="1"/>
  </cols>
  <sheetData>
    <row r="1" spans="1:11">
      <c r="A1" s="140" t="s">
        <v>288</v>
      </c>
      <c r="B1" s="140"/>
      <c r="C1" s="140"/>
      <c r="D1" s="156"/>
      <c r="E1" s="140"/>
      <c r="F1" s="140"/>
      <c r="G1" s="140" t="s">
        <v>437</v>
      </c>
      <c r="H1" s="140"/>
      <c r="I1" s="140"/>
      <c r="J1" s="149" t="s">
        <v>290</v>
      </c>
    </row>
    <row r="2" spans="1:11">
      <c r="A2" s="125" t="s">
        <v>187</v>
      </c>
      <c r="B2" s="125" t="s">
        <v>50</v>
      </c>
      <c r="C2" s="125" t="s">
        <v>51</v>
      </c>
      <c r="D2" s="125" t="s">
        <v>285</v>
      </c>
      <c r="E2" s="125" t="s">
        <v>286</v>
      </c>
      <c r="F2" s="125" t="s">
        <v>358</v>
      </c>
      <c r="G2" s="125"/>
      <c r="H2" s="125"/>
      <c r="I2" s="125" t="s">
        <v>287</v>
      </c>
      <c r="J2" s="125" t="s">
        <v>297</v>
      </c>
    </row>
    <row r="3" spans="1:11">
      <c r="A3" s="125" t="s">
        <v>100</v>
      </c>
      <c r="B3" s="125" t="s">
        <v>283</v>
      </c>
      <c r="C3" s="125" t="s">
        <v>180</v>
      </c>
      <c r="D3" s="147">
        <v>1016000</v>
      </c>
      <c r="E3" s="147">
        <v>2116400</v>
      </c>
      <c r="F3" s="147">
        <f>E3-D3</f>
        <v>1100400</v>
      </c>
      <c r="G3" s="147"/>
      <c r="H3" s="147"/>
      <c r="I3" s="125" t="s">
        <v>306</v>
      </c>
      <c r="J3" s="125" t="s">
        <v>301</v>
      </c>
    </row>
    <row r="4" spans="1:11">
      <c r="A4" s="125" t="s">
        <v>186</v>
      </c>
      <c r="B4" s="125" t="s">
        <v>52</v>
      </c>
      <c r="C4" s="125" t="s">
        <v>90</v>
      </c>
      <c r="D4" s="147" t="s">
        <v>337</v>
      </c>
      <c r="E4" s="147" t="s">
        <v>338</v>
      </c>
      <c r="F4" s="147" t="s">
        <v>338</v>
      </c>
      <c r="G4" s="147"/>
      <c r="H4" s="147"/>
      <c r="I4" s="125" t="s">
        <v>314</v>
      </c>
      <c r="J4" s="125" t="s">
        <v>289</v>
      </c>
    </row>
    <row r="5" spans="1:11">
      <c r="A5" s="125" t="s">
        <v>186</v>
      </c>
      <c r="B5" s="125" t="s">
        <v>52</v>
      </c>
      <c r="C5" s="125" t="s">
        <v>54</v>
      </c>
      <c r="D5" s="147">
        <v>933600</v>
      </c>
      <c r="E5" s="147">
        <v>1483400</v>
      </c>
      <c r="F5" s="147">
        <f>E5-D5</f>
        <v>549800</v>
      </c>
      <c r="G5" s="147">
        <f>D5*商品設計・価格表案!$B$7/商品設計・価格表案!$B$6</f>
        <v>593736.84210526315</v>
      </c>
      <c r="H5" s="147">
        <f>E5*商品設計・価格表案!$B$7/商品設計・価格表案!$B$6</f>
        <v>943390.35087719304</v>
      </c>
      <c r="I5" s="125" t="s">
        <v>314</v>
      </c>
      <c r="J5" s="125" t="s">
        <v>289</v>
      </c>
    </row>
    <row r="6" spans="1:11">
      <c r="A6" s="125" t="s">
        <v>186</v>
      </c>
      <c r="B6" s="125" t="s">
        <v>52</v>
      </c>
      <c r="C6" s="125" t="s">
        <v>92</v>
      </c>
      <c r="D6" s="147">
        <v>718600</v>
      </c>
      <c r="E6" s="147">
        <v>1230600</v>
      </c>
      <c r="F6" s="147">
        <f t="shared" ref="F6:F11" si="0">E6-D6</f>
        <v>512000</v>
      </c>
      <c r="G6" s="147">
        <f>D6*商品設計・価格表案!$B$7/商品設計・価格表案!$B$6</f>
        <v>457004.3859649123</v>
      </c>
      <c r="H6" s="147">
        <f>E6*商品設計・価格表案!$B$7/商品設計・価格表案!$B$6</f>
        <v>782618.42105263157</v>
      </c>
      <c r="I6" s="125" t="s">
        <v>314</v>
      </c>
      <c r="J6" s="125" t="s">
        <v>289</v>
      </c>
    </row>
    <row r="7" spans="1:11">
      <c r="A7" s="151" t="s">
        <v>186</v>
      </c>
      <c r="B7" s="151" t="s">
        <v>94</v>
      </c>
      <c r="C7" s="151" t="s">
        <v>93</v>
      </c>
      <c r="D7" s="152">
        <v>459600</v>
      </c>
      <c r="E7" s="152">
        <v>1016400</v>
      </c>
      <c r="F7" s="147">
        <f t="shared" si="0"/>
        <v>556800</v>
      </c>
      <c r="G7" s="147">
        <f>D7*商品設計・価格表案!$B$7/商品設計・価格表案!$B$6</f>
        <v>292289.4736842105</v>
      </c>
      <c r="H7" s="147">
        <f>E7*商品設計・価格表案!$B$7/商品設計・価格表案!$B$6</f>
        <v>646394.73684210528</v>
      </c>
      <c r="I7" s="151" t="s">
        <v>292</v>
      </c>
      <c r="J7" s="151" t="s">
        <v>291</v>
      </c>
      <c r="K7" s="150" t="s">
        <v>305</v>
      </c>
    </row>
    <row r="8" spans="1:11">
      <c r="A8" s="125" t="s">
        <v>186</v>
      </c>
      <c r="B8" s="125" t="s">
        <v>94</v>
      </c>
      <c r="C8" s="125" t="s">
        <v>149</v>
      </c>
      <c r="D8" s="147">
        <v>580440</v>
      </c>
      <c r="E8" s="147">
        <v>820440</v>
      </c>
      <c r="F8" s="147">
        <f t="shared" si="0"/>
        <v>240000</v>
      </c>
      <c r="G8" s="147">
        <f>D8*商品設計・価格表案!$B$7/商品設計・価格表案!$B$6</f>
        <v>369139.4736842105</v>
      </c>
      <c r="H8" s="147">
        <f>E8*商品設計・価格表案!$B$7/商品設計・価格表案!$B$6</f>
        <v>521771.05263157893</v>
      </c>
      <c r="I8" s="125" t="s">
        <v>293</v>
      </c>
      <c r="J8" s="125" t="s">
        <v>294</v>
      </c>
    </row>
    <row r="9" spans="1:11">
      <c r="A9" s="125" t="s">
        <v>186</v>
      </c>
      <c r="B9" s="125" t="s">
        <v>94</v>
      </c>
      <c r="C9" s="125" t="s">
        <v>168</v>
      </c>
      <c r="D9" s="147">
        <v>480440</v>
      </c>
      <c r="E9" s="147">
        <v>900440</v>
      </c>
      <c r="F9" s="147">
        <f t="shared" si="0"/>
        <v>420000</v>
      </c>
      <c r="G9" s="147">
        <f>D9*商品設計・価格表案!$B$7/商品設計・価格表案!$B$6</f>
        <v>305542.98245614034</v>
      </c>
      <c r="H9" s="147">
        <f>E9*商品設計・価格表案!$B$7/商品設計・価格表案!$B$6</f>
        <v>572648.24561403506</v>
      </c>
      <c r="I9" s="125" t="s">
        <v>293</v>
      </c>
      <c r="J9" s="125" t="s">
        <v>295</v>
      </c>
    </row>
    <row r="10" spans="1:11">
      <c r="A10" s="125" t="s">
        <v>186</v>
      </c>
      <c r="B10" s="125" t="s">
        <v>170</v>
      </c>
      <c r="C10" s="125" t="s">
        <v>169</v>
      </c>
      <c r="D10" s="147">
        <v>558400</v>
      </c>
      <c r="E10" s="147">
        <v>1328400</v>
      </c>
      <c r="F10" s="147">
        <f t="shared" si="0"/>
        <v>770000</v>
      </c>
      <c r="G10" s="147">
        <f>D10*商品設計・価格表案!$B$7/商品設計・価格表案!$B$6</f>
        <v>355122.80701754388</v>
      </c>
      <c r="H10" s="147">
        <f>E10*商品設計・価格表案!$B$7/商品設計・価格表案!$B$6</f>
        <v>844815.78947368416</v>
      </c>
      <c r="I10" s="125" t="s">
        <v>300</v>
      </c>
      <c r="J10" s="125" t="s">
        <v>299</v>
      </c>
      <c r="K10" t="s">
        <v>298</v>
      </c>
    </row>
    <row r="11" spans="1:11">
      <c r="A11" s="125" t="s">
        <v>97</v>
      </c>
      <c r="B11" s="125" t="s">
        <v>98</v>
      </c>
      <c r="C11" s="125" t="s">
        <v>188</v>
      </c>
      <c r="D11" s="147">
        <v>518400</v>
      </c>
      <c r="E11" s="147">
        <v>1791600</v>
      </c>
      <c r="F11" s="147">
        <f t="shared" si="0"/>
        <v>1273200</v>
      </c>
      <c r="G11" s="147">
        <f>D11</f>
        <v>518400</v>
      </c>
      <c r="H11" s="147">
        <f>E11</f>
        <v>1791600</v>
      </c>
      <c r="I11" s="125" t="s">
        <v>311</v>
      </c>
      <c r="J11" s="125" t="s">
        <v>310</v>
      </c>
    </row>
    <row r="12" spans="1:11">
      <c r="A12" s="173"/>
      <c r="B12" s="173"/>
      <c r="D12" s="174"/>
      <c r="E12" s="174"/>
      <c r="F12" s="150" t="s">
        <v>435</v>
      </c>
      <c r="G12" s="174">
        <f>AVERAGE(G5:G11)</f>
        <v>413033.70927318296</v>
      </c>
      <c r="H12" s="174">
        <f>AVERAGE(H5:H11)</f>
        <v>871891.22807017539</v>
      </c>
      <c r="I12" s="173"/>
      <c r="J12" s="173"/>
    </row>
    <row r="13" spans="1:11">
      <c r="A13" s="173"/>
      <c r="B13" s="173"/>
      <c r="D13" s="174"/>
      <c r="E13" s="174"/>
      <c r="F13" s="150" t="s">
        <v>436</v>
      </c>
      <c r="G13" s="174">
        <f>G12*$I$13</f>
        <v>330426.96741854638</v>
      </c>
      <c r="H13" s="174">
        <f>H12*$I$13</f>
        <v>697512.98245614034</v>
      </c>
      <c r="I13" s="175">
        <v>0.8</v>
      </c>
      <c r="J13" s="173"/>
    </row>
    <row r="14" spans="1:11">
      <c r="A14" s="173"/>
      <c r="B14" s="173"/>
      <c r="C14" s="173"/>
      <c r="D14" s="174"/>
      <c r="E14" s="174"/>
      <c r="F14" s="174"/>
      <c r="G14" s="174"/>
      <c r="H14" s="174"/>
      <c r="I14" s="173"/>
      <c r="J14" s="173"/>
    </row>
    <row r="15" spans="1:11">
      <c r="A15" t="s">
        <v>284</v>
      </c>
      <c r="D15" s="148"/>
      <c r="E15" s="148"/>
      <c r="F15" s="148"/>
      <c r="G15" s="148"/>
      <c r="H15" s="148"/>
      <c r="J15" s="126" t="s">
        <v>290</v>
      </c>
    </row>
    <row r="16" spans="1:11">
      <c r="A16" s="125" t="s">
        <v>187</v>
      </c>
      <c r="B16" s="125" t="s">
        <v>50</v>
      </c>
      <c r="C16" s="125" t="s">
        <v>51</v>
      </c>
      <c r="D16" s="147" t="s">
        <v>285</v>
      </c>
      <c r="E16" s="147" t="s">
        <v>286</v>
      </c>
      <c r="F16" s="125" t="s">
        <v>358</v>
      </c>
      <c r="G16" s="125"/>
      <c r="H16" s="125"/>
      <c r="I16" s="125" t="s">
        <v>287</v>
      </c>
      <c r="J16" s="125" t="s">
        <v>297</v>
      </c>
    </row>
    <row r="17" spans="1:11">
      <c r="A17" s="125" t="s">
        <v>100</v>
      </c>
      <c r="B17" s="125" t="s">
        <v>283</v>
      </c>
      <c r="C17" s="125" t="s">
        <v>180</v>
      </c>
      <c r="D17" s="147">
        <f>80%*46560800</f>
        <v>37248640</v>
      </c>
      <c r="E17" s="147">
        <f>80%*165000000</f>
        <v>132000000</v>
      </c>
      <c r="F17" s="147">
        <f>E17-D17</f>
        <v>94751360</v>
      </c>
      <c r="G17" s="147"/>
      <c r="H17" s="147"/>
      <c r="I17" s="125" t="s">
        <v>304</v>
      </c>
      <c r="J17" s="125" t="s">
        <v>302</v>
      </c>
    </row>
    <row r="18" spans="1:11">
      <c r="A18" s="125" t="s">
        <v>186</v>
      </c>
      <c r="B18" s="125" t="s">
        <v>52</v>
      </c>
      <c r="C18" s="125" t="s">
        <v>90</v>
      </c>
      <c r="D18" s="147" t="s">
        <v>338</v>
      </c>
      <c r="E18" s="147" t="s">
        <v>339</v>
      </c>
      <c r="F18" s="147" t="s">
        <v>338</v>
      </c>
      <c r="G18" s="147"/>
      <c r="H18" s="147"/>
      <c r="I18" s="125" t="s">
        <v>319</v>
      </c>
      <c r="J18" s="125" t="s">
        <v>289</v>
      </c>
    </row>
    <row r="19" spans="1:11">
      <c r="A19" s="125" t="s">
        <v>186</v>
      </c>
      <c r="B19" s="125" t="s">
        <v>52</v>
      </c>
      <c r="C19" s="125" t="s">
        <v>54</v>
      </c>
      <c r="D19" s="146">
        <f>80%*53487500</f>
        <v>42790000</v>
      </c>
      <c r="E19" s="147">
        <f>80%*84986458.3333333</f>
        <v>67989166.666666642</v>
      </c>
      <c r="F19" s="147">
        <f t="shared" ref="F19:F25" si="1">E19-D19</f>
        <v>25199166.666666642</v>
      </c>
      <c r="G19" s="147">
        <f>D19*商品設計・価格表案!$B$7/商品設計・価格表案!$B$6</f>
        <v>27212938.596491229</v>
      </c>
      <c r="H19" s="147">
        <f>E19*商品設計・価格表案!$B$7/商品設計・価格表案!$B$6</f>
        <v>43238724.415204659</v>
      </c>
      <c r="I19" s="125" t="s">
        <v>319</v>
      </c>
      <c r="J19" s="125" t="s">
        <v>289</v>
      </c>
    </row>
    <row r="20" spans="1:11">
      <c r="A20" s="125" t="s">
        <v>186</v>
      </c>
      <c r="B20" s="125" t="s">
        <v>52</v>
      </c>
      <c r="C20" s="125" t="s">
        <v>92</v>
      </c>
      <c r="D20" s="147">
        <f>80%*41169791.6666667</f>
        <v>32935833.333333362</v>
      </c>
      <c r="E20" s="147">
        <f>80%*70503125</f>
        <v>56402500</v>
      </c>
      <c r="F20" s="147">
        <f t="shared" si="1"/>
        <v>23466666.666666638</v>
      </c>
      <c r="G20" s="147">
        <f>D20*商品設計・価格表案!$B$7/商品設計・価格表案!$B$6</f>
        <v>20946034.356725167</v>
      </c>
      <c r="H20" s="147">
        <f>E20*商品設計・価格表案!$B$7/商品設計・価格表案!$B$6</f>
        <v>35870010.96491228</v>
      </c>
      <c r="I20" s="125" t="s">
        <v>319</v>
      </c>
      <c r="J20" s="125" t="s">
        <v>289</v>
      </c>
    </row>
    <row r="21" spans="1:11" s="153" customFormat="1">
      <c r="A21" s="151" t="s">
        <v>186</v>
      </c>
      <c r="B21" s="151" t="s">
        <v>94</v>
      </c>
      <c r="C21" s="151" t="s">
        <v>93</v>
      </c>
      <c r="D21" s="152">
        <f>80%*67408000</f>
        <v>53926400</v>
      </c>
      <c r="E21" s="152">
        <f>80%*149072000</f>
        <v>119257600</v>
      </c>
      <c r="F21" s="147">
        <f t="shared" si="1"/>
        <v>65331200</v>
      </c>
      <c r="G21" s="147">
        <f>D21*商品設計・価格表案!$B$7/商品設計・価格表案!$B$6</f>
        <v>34295298.245614037</v>
      </c>
      <c r="H21" s="147">
        <f>E21*商品設計・価格表案!$B$7/商品設計・価格表案!$B$6</f>
        <v>75843649.122807011</v>
      </c>
      <c r="I21" s="151" t="s">
        <v>303</v>
      </c>
      <c r="J21" s="151" t="s">
        <v>291</v>
      </c>
    </row>
    <row r="22" spans="1:11">
      <c r="A22" s="125" t="s">
        <v>186</v>
      </c>
      <c r="B22" s="125" t="s">
        <v>94</v>
      </c>
      <c r="C22" s="125" t="s">
        <v>149</v>
      </c>
      <c r="D22" s="147">
        <f>80%*85131200</f>
        <v>68104960</v>
      </c>
      <c r="E22" s="147">
        <f>80%*120331200</f>
        <v>96264960</v>
      </c>
      <c r="F22" s="147">
        <f t="shared" si="1"/>
        <v>28160000</v>
      </c>
      <c r="G22" s="147">
        <f>D22*商品設計・価格表案!$B$7/商品設計・価格表案!$B$6</f>
        <v>43312364.912280701</v>
      </c>
      <c r="H22" s="147">
        <f>E22*商品設計・価格表案!$B$7/商品設計・価格表案!$B$6</f>
        <v>61221136.842105262</v>
      </c>
      <c r="I22" s="125" t="s">
        <v>308</v>
      </c>
      <c r="J22" s="125" t="s">
        <v>294</v>
      </c>
    </row>
    <row r="23" spans="1:11">
      <c r="A23" s="125" t="s">
        <v>186</v>
      </c>
      <c r="B23" s="125" t="s">
        <v>94</v>
      </c>
      <c r="C23" s="125" t="s">
        <v>168</v>
      </c>
      <c r="D23" s="147">
        <f>80%*70464533.3333333</f>
        <v>56371626.666666642</v>
      </c>
      <c r="E23" s="147">
        <f>80%*132064533.333333</f>
        <v>105651626.6666664</v>
      </c>
      <c r="F23" s="147">
        <f t="shared" si="1"/>
        <v>49279999.999999762</v>
      </c>
      <c r="G23" s="147">
        <f>D23*商品設計・価格表案!$B$7/商品設計・価格表案!$B$6</f>
        <v>35850376.608187117</v>
      </c>
      <c r="H23" s="147">
        <f>E23*商品設計・価格表案!$B$7/商品設計・価格表案!$B$6</f>
        <v>67190727.485379949</v>
      </c>
      <c r="I23" s="125" t="s">
        <v>309</v>
      </c>
      <c r="J23" s="125" t="s">
        <v>295</v>
      </c>
      <c r="K23" t="s">
        <v>296</v>
      </c>
    </row>
    <row r="24" spans="1:11">
      <c r="A24" s="125" t="s">
        <v>186</v>
      </c>
      <c r="B24" s="125" t="s">
        <v>170</v>
      </c>
      <c r="C24" s="125" t="s">
        <v>169</v>
      </c>
      <c r="D24" s="147">
        <f>80%*31991666.6666667</f>
        <v>25593333.333333362</v>
      </c>
      <c r="E24" s="147">
        <f>80%*76106250</f>
        <v>60885000</v>
      </c>
      <c r="F24" s="147">
        <f t="shared" si="1"/>
        <v>35291666.666666642</v>
      </c>
      <c r="G24" s="147">
        <f>D24*商品設計・価格表案!$B$7/商品設計・価格表案!$B$6</f>
        <v>16276461.98830411</v>
      </c>
      <c r="H24" s="147">
        <f>E24*商品設計・価格表案!$B$7/商品設計・価格表案!$B$6</f>
        <v>38720723.684210524</v>
      </c>
      <c r="I24" s="125" t="s">
        <v>307</v>
      </c>
      <c r="J24" s="125" t="s">
        <v>299</v>
      </c>
    </row>
    <row r="25" spans="1:11">
      <c r="A25" s="125" t="s">
        <v>97</v>
      </c>
      <c r="B25" s="125" t="s">
        <v>98</v>
      </c>
      <c r="C25" s="125" t="s">
        <v>188</v>
      </c>
      <c r="D25" s="147">
        <f>80%*27371520</f>
        <v>21897216</v>
      </c>
      <c r="E25" s="147">
        <f>80%*46907520</f>
        <v>37526016</v>
      </c>
      <c r="F25" s="147">
        <f t="shared" si="1"/>
        <v>15628800</v>
      </c>
      <c r="G25" s="147">
        <f>D25</f>
        <v>21897216</v>
      </c>
      <c r="H25" s="147">
        <f>E25</f>
        <v>37526016</v>
      </c>
      <c r="I25" s="125" t="s">
        <v>312</v>
      </c>
      <c r="J25" s="125" t="s">
        <v>310</v>
      </c>
    </row>
    <row r="26" spans="1:11">
      <c r="F26" s="150" t="s">
        <v>435</v>
      </c>
      <c r="G26" s="174">
        <f>AVERAGE(G19:G25)</f>
        <v>28541527.243943192</v>
      </c>
      <c r="H26" s="174">
        <f>AVERAGE(H19:H25)</f>
        <v>51372998.35923139</v>
      </c>
      <c r="I26" s="173"/>
    </row>
    <row r="27" spans="1:11">
      <c r="F27" s="150" t="s">
        <v>436</v>
      </c>
      <c r="G27" s="174">
        <f>G26*$I$13</f>
        <v>22833221.795154557</v>
      </c>
      <c r="H27" s="174">
        <f>H26*$I$13</f>
        <v>41098398.687385112</v>
      </c>
      <c r="I27" s="175">
        <v>0.8</v>
      </c>
    </row>
  </sheetData>
  <phoneticPr fontId="4"/>
  <conditionalFormatting sqref="D3:D14 E12">
    <cfRule type="colorScale" priority="10">
      <colorScale>
        <cfvo type="min"/>
        <cfvo type="percentile" val="50"/>
        <cfvo type="max"/>
        <color rgb="FF63BE7B"/>
        <color rgb="FFFFEB84"/>
        <color rgb="FFF8696B"/>
      </colorScale>
    </cfRule>
  </conditionalFormatting>
  <conditionalFormatting sqref="E3:H11 E14:H14 E13 G12:H13">
    <cfRule type="colorScale" priority="9">
      <colorScale>
        <cfvo type="min"/>
        <cfvo type="percentile" val="50"/>
        <cfvo type="max"/>
        <color rgb="FF63BE7B"/>
        <color rgb="FFFFEB84"/>
        <color rgb="FFF8696B"/>
      </colorScale>
    </cfRule>
  </conditionalFormatting>
  <conditionalFormatting sqref="D17:D25">
    <cfRule type="colorScale" priority="8">
      <colorScale>
        <cfvo type="min"/>
        <cfvo type="percentile" val="50"/>
        <cfvo type="max"/>
        <color rgb="FF63BE7B"/>
        <color rgb="FFFFEB84"/>
        <color rgb="FFF8696B"/>
      </colorScale>
    </cfRule>
  </conditionalFormatting>
  <conditionalFormatting sqref="E17:E25">
    <cfRule type="colorScale" priority="7">
      <colorScale>
        <cfvo type="min"/>
        <cfvo type="percentile" val="50"/>
        <cfvo type="max"/>
        <color rgb="FF63BE7B"/>
        <color rgb="FFFFEB84"/>
        <color rgb="FFF8696B"/>
      </colorScale>
    </cfRule>
  </conditionalFormatting>
  <conditionalFormatting sqref="F18:H18">
    <cfRule type="colorScale" priority="4">
      <colorScale>
        <cfvo type="min"/>
        <cfvo type="percentile" val="50"/>
        <cfvo type="max"/>
        <color rgb="FF63BE7B"/>
        <color rgb="FFFFEB84"/>
        <color rgb="FFF8696B"/>
      </colorScale>
    </cfRule>
  </conditionalFormatting>
  <conditionalFormatting sqref="F19:F25 F17:H17">
    <cfRule type="colorScale" priority="3">
      <colorScale>
        <cfvo type="min"/>
        <cfvo type="percentile" val="50"/>
        <cfvo type="max"/>
        <color rgb="FF63BE7B"/>
        <color rgb="FFFFEB84"/>
        <color rgb="FFF8696B"/>
      </colorScale>
    </cfRule>
  </conditionalFormatting>
  <conditionalFormatting sqref="G19:H25">
    <cfRule type="colorScale" priority="2">
      <colorScale>
        <cfvo type="min"/>
        <cfvo type="percentile" val="50"/>
        <cfvo type="max"/>
        <color rgb="FF63BE7B"/>
        <color rgb="FFFFEB84"/>
        <color rgb="FFF8696B"/>
      </colorScale>
    </cfRule>
  </conditionalFormatting>
  <conditionalFormatting sqref="G26:H27">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E22"/>
  <sheetViews>
    <sheetView workbookViewId="0"/>
  </sheetViews>
  <sheetFormatPr baseColWidth="10" defaultColWidth="8.83203125" defaultRowHeight="14"/>
  <cols>
    <col min="1" max="1" width="17.1640625" bestFit="1" customWidth="1"/>
    <col min="2" max="2" width="13.1640625" customWidth="1"/>
    <col min="3" max="3" width="100.1640625" bestFit="1" customWidth="1"/>
  </cols>
  <sheetData>
    <row r="1" spans="1:5">
      <c r="A1" s="140" t="s">
        <v>313</v>
      </c>
      <c r="B1" s="140"/>
      <c r="C1" s="140"/>
    </row>
    <row r="2" spans="1:5">
      <c r="A2" s="125" t="s">
        <v>50</v>
      </c>
      <c r="B2" s="125" t="s">
        <v>333</v>
      </c>
      <c r="C2" s="125" t="s">
        <v>201</v>
      </c>
    </row>
    <row r="3" spans="1:5">
      <c r="A3" s="157" t="s">
        <v>52</v>
      </c>
      <c r="B3" s="157" t="s">
        <v>330</v>
      </c>
      <c r="C3" s="161" t="s">
        <v>323</v>
      </c>
    </row>
    <row r="4" spans="1:5">
      <c r="A4" s="159"/>
      <c r="B4" s="159" t="s">
        <v>331</v>
      </c>
      <c r="C4" s="162" t="s">
        <v>315</v>
      </c>
      <c r="E4" t="s">
        <v>320</v>
      </c>
    </row>
    <row r="5" spans="1:5">
      <c r="A5" s="159"/>
      <c r="B5" s="159" t="s">
        <v>332</v>
      </c>
      <c r="C5" s="162" t="s">
        <v>325</v>
      </c>
    </row>
    <row r="6" spans="1:5">
      <c r="A6" s="158"/>
      <c r="B6" s="158" t="s">
        <v>243</v>
      </c>
      <c r="C6" s="163" t="s">
        <v>316</v>
      </c>
    </row>
    <row r="7" spans="1:5">
      <c r="A7" s="160" t="s">
        <v>94</v>
      </c>
      <c r="B7" s="160" t="s">
        <v>330</v>
      </c>
      <c r="C7" s="164" t="s">
        <v>322</v>
      </c>
    </row>
    <row r="8" spans="1:5">
      <c r="A8" s="150"/>
      <c r="B8" s="150" t="s">
        <v>331</v>
      </c>
      <c r="C8" s="162" t="s">
        <v>318</v>
      </c>
    </row>
    <row r="9" spans="1:5">
      <c r="A9" s="159"/>
      <c r="B9" s="159" t="s">
        <v>332</v>
      </c>
      <c r="C9" s="165" t="s">
        <v>321</v>
      </c>
    </row>
    <row r="10" spans="1:5">
      <c r="A10" s="158"/>
      <c r="B10" s="158" t="s">
        <v>243</v>
      </c>
      <c r="C10" s="163" t="s">
        <v>317</v>
      </c>
    </row>
    <row r="11" spans="1:5">
      <c r="A11" s="157" t="s">
        <v>170</v>
      </c>
      <c r="B11" s="157" t="s">
        <v>330</v>
      </c>
      <c r="C11" s="161" t="s">
        <v>326</v>
      </c>
    </row>
    <row r="12" spans="1:5">
      <c r="A12" s="159"/>
      <c r="B12" s="159" t="s">
        <v>331</v>
      </c>
      <c r="C12" s="162" t="s">
        <v>324</v>
      </c>
    </row>
    <row r="13" spans="1:5">
      <c r="A13" s="159"/>
      <c r="B13" s="159" t="s">
        <v>332</v>
      </c>
      <c r="C13" s="162" t="s">
        <v>325</v>
      </c>
    </row>
    <row r="14" spans="1:5">
      <c r="A14" s="158"/>
      <c r="B14" s="158" t="s">
        <v>243</v>
      </c>
      <c r="C14" s="163" t="s">
        <v>327</v>
      </c>
    </row>
    <row r="15" spans="1:5">
      <c r="A15" s="157" t="s">
        <v>283</v>
      </c>
      <c r="B15" s="157" t="s">
        <v>330</v>
      </c>
      <c r="C15" s="161" t="s">
        <v>329</v>
      </c>
    </row>
    <row r="16" spans="1:5">
      <c r="A16" s="159"/>
      <c r="B16" s="159" t="s">
        <v>331</v>
      </c>
      <c r="C16" s="162" t="s">
        <v>318</v>
      </c>
    </row>
    <row r="17" spans="1:3">
      <c r="A17" s="159"/>
      <c r="B17" s="159" t="s">
        <v>332</v>
      </c>
      <c r="C17" s="162" t="s">
        <v>328</v>
      </c>
    </row>
    <row r="18" spans="1:3">
      <c r="A18" s="158"/>
      <c r="B18" s="158" t="s">
        <v>243</v>
      </c>
      <c r="C18" s="163" t="s">
        <v>317</v>
      </c>
    </row>
    <row r="19" spans="1:3">
      <c r="A19" s="157" t="s">
        <v>98</v>
      </c>
      <c r="B19" s="157" t="s">
        <v>330</v>
      </c>
      <c r="C19" s="161" t="s">
        <v>334</v>
      </c>
    </row>
    <row r="20" spans="1:3">
      <c r="A20" s="159"/>
      <c r="B20" s="159" t="s">
        <v>331</v>
      </c>
      <c r="C20" s="162" t="s">
        <v>318</v>
      </c>
    </row>
    <row r="21" spans="1:3">
      <c r="A21" s="159"/>
      <c r="B21" s="159" t="s">
        <v>332</v>
      </c>
      <c r="C21" s="162" t="s">
        <v>335</v>
      </c>
    </row>
    <row r="22" spans="1:3">
      <c r="A22" s="158"/>
      <c r="B22" s="158" t="s">
        <v>243</v>
      </c>
      <c r="C22" s="163" t="s">
        <v>317</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24"/>
  <sheetViews>
    <sheetView view="pageBreakPreview" zoomScaleNormal="100" zoomScaleSheetLayoutView="100" workbookViewId="0"/>
  </sheetViews>
  <sheetFormatPr baseColWidth="10" defaultColWidth="8.83203125" defaultRowHeight="14"/>
  <cols>
    <col min="1" max="1" width="20" bestFit="1" customWidth="1"/>
    <col min="2" max="2" width="20" customWidth="1"/>
    <col min="3" max="3" width="81.5" bestFit="1" customWidth="1"/>
    <col min="4" max="4" width="7.5" bestFit="1" customWidth="1"/>
    <col min="5" max="5" width="12.6640625" customWidth="1"/>
  </cols>
  <sheetData>
    <row r="1" spans="1:3">
      <c r="A1" t="s">
        <v>342</v>
      </c>
    </row>
    <row r="2" spans="1:3">
      <c r="A2" s="157" t="s">
        <v>352</v>
      </c>
      <c r="B2" s="157" t="s">
        <v>340</v>
      </c>
      <c r="C2" s="125" t="s">
        <v>336</v>
      </c>
    </row>
    <row r="3" spans="1:3">
      <c r="A3" s="159"/>
      <c r="B3" s="159"/>
      <c r="C3" s="125" t="s">
        <v>353</v>
      </c>
    </row>
    <row r="4" spans="1:3">
      <c r="A4" s="159"/>
      <c r="B4" s="158"/>
      <c r="C4" s="125" t="s">
        <v>359</v>
      </c>
    </row>
    <row r="5" spans="1:3">
      <c r="A5" s="159"/>
      <c r="B5" s="157" t="s">
        <v>346</v>
      </c>
      <c r="C5" s="125" t="s">
        <v>360</v>
      </c>
    </row>
    <row r="6" spans="1:3">
      <c r="A6" s="159"/>
      <c r="B6" s="159"/>
      <c r="C6" s="125" t="s">
        <v>354</v>
      </c>
    </row>
    <row r="7" spans="1:3">
      <c r="A7" s="158"/>
      <c r="B7" s="158"/>
      <c r="C7" s="125" t="s">
        <v>355</v>
      </c>
    </row>
    <row r="8" spans="1:3">
      <c r="A8" s="157" t="s">
        <v>356</v>
      </c>
      <c r="B8" s="157" t="s">
        <v>343</v>
      </c>
      <c r="C8" s="125" t="s">
        <v>361</v>
      </c>
    </row>
    <row r="9" spans="1:3">
      <c r="A9" s="159"/>
      <c r="B9" s="159"/>
      <c r="C9" s="125" t="s">
        <v>362</v>
      </c>
    </row>
    <row r="10" spans="1:3">
      <c r="A10" s="159"/>
      <c r="B10" s="158"/>
      <c r="C10" s="125" t="s">
        <v>363</v>
      </c>
    </row>
    <row r="11" spans="1:3">
      <c r="A11" s="159"/>
      <c r="B11" s="157" t="s">
        <v>347</v>
      </c>
      <c r="C11" s="125" t="s">
        <v>364</v>
      </c>
    </row>
    <row r="12" spans="1:3">
      <c r="A12" s="159"/>
      <c r="B12" s="159"/>
      <c r="C12" s="125" t="s">
        <v>348</v>
      </c>
    </row>
    <row r="13" spans="1:3">
      <c r="A13" s="159"/>
      <c r="B13" s="159"/>
      <c r="C13" s="125" t="s">
        <v>349</v>
      </c>
    </row>
    <row r="14" spans="1:3">
      <c r="A14" s="159"/>
      <c r="B14" s="159"/>
      <c r="C14" s="125" t="s">
        <v>350</v>
      </c>
    </row>
    <row r="15" spans="1:3">
      <c r="A15" s="158"/>
      <c r="B15" s="158"/>
      <c r="C15" s="125" t="s">
        <v>365</v>
      </c>
    </row>
    <row r="16" spans="1:3">
      <c r="A16" s="157" t="s">
        <v>357</v>
      </c>
      <c r="B16" s="157" t="s">
        <v>351</v>
      </c>
      <c r="C16" s="125" t="s">
        <v>366</v>
      </c>
    </row>
    <row r="17" spans="1:3">
      <c r="A17" s="159"/>
      <c r="B17" s="158"/>
      <c r="C17" s="125" t="s">
        <v>367</v>
      </c>
    </row>
    <row r="18" spans="1:3">
      <c r="A18" s="159"/>
      <c r="B18" s="157" t="s">
        <v>341</v>
      </c>
      <c r="C18" s="125" t="s">
        <v>368</v>
      </c>
    </row>
    <row r="19" spans="1:3">
      <c r="A19" s="159"/>
      <c r="B19" s="159"/>
      <c r="C19" s="125" t="s">
        <v>344</v>
      </c>
    </row>
    <row r="20" spans="1:3">
      <c r="A20" s="159"/>
      <c r="B20" s="159"/>
      <c r="C20" s="125" t="s">
        <v>369</v>
      </c>
    </row>
    <row r="21" spans="1:3">
      <c r="A21" s="159"/>
      <c r="B21" s="158"/>
      <c r="C21" s="125" t="s">
        <v>345</v>
      </c>
    </row>
    <row r="22" spans="1:3">
      <c r="A22" s="159"/>
      <c r="B22" s="157" t="s">
        <v>370</v>
      </c>
      <c r="C22" s="125" t="s">
        <v>359</v>
      </c>
    </row>
    <row r="23" spans="1:3">
      <c r="A23" s="159"/>
      <c r="B23" s="159"/>
      <c r="C23" s="125" t="s">
        <v>364</v>
      </c>
    </row>
    <row r="24" spans="1:3">
      <c r="A24" s="158"/>
      <c r="B24" s="158"/>
      <c r="C24" s="125" t="s">
        <v>371</v>
      </c>
    </row>
  </sheetData>
  <phoneticPr fontId="4"/>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40"/>
  <sheetViews>
    <sheetView view="pageBreakPreview" zoomScale="70" zoomScaleNormal="80" zoomScaleSheetLayoutView="70" workbookViewId="0">
      <selection activeCell="A10" sqref="A10:E10"/>
    </sheetView>
  </sheetViews>
  <sheetFormatPr baseColWidth="10" defaultColWidth="9" defaultRowHeight="14"/>
  <cols>
    <col min="1" max="1" width="17.83203125" style="166" customWidth="1"/>
    <col min="2" max="2" width="19.1640625" style="166" bestFit="1" customWidth="1"/>
    <col min="3" max="3" width="9" style="166"/>
    <col min="4" max="4" width="29.33203125" style="166" customWidth="1"/>
    <col min="5" max="5" width="60.1640625" style="166" customWidth="1"/>
    <col min="6" max="6" width="44.1640625" style="166" bestFit="1" customWidth="1"/>
    <col min="7" max="16384" width="9" style="166"/>
  </cols>
  <sheetData>
    <row r="1" spans="1:6" ht="15">
      <c r="A1" s="176" t="s">
        <v>472</v>
      </c>
    </row>
    <row r="2" spans="1:6">
      <c r="A2" s="167" t="s">
        <v>372</v>
      </c>
      <c r="B2" s="167" t="s">
        <v>373</v>
      </c>
      <c r="C2" s="167" t="s">
        <v>374</v>
      </c>
    </row>
    <row r="3" spans="1:6">
      <c r="A3" s="168" t="s">
        <v>375</v>
      </c>
      <c r="B3" s="168" t="s">
        <v>376</v>
      </c>
      <c r="C3" s="168" t="s">
        <v>377</v>
      </c>
      <c r="D3" s="168"/>
    </row>
    <row r="4" spans="1:6">
      <c r="A4" s="168" t="s">
        <v>380</v>
      </c>
      <c r="B4" s="168">
        <v>365</v>
      </c>
      <c r="C4" s="168" t="s">
        <v>383</v>
      </c>
      <c r="D4" s="169" t="s">
        <v>382</v>
      </c>
    </row>
    <row r="5" spans="1:6">
      <c r="A5" s="168" t="s">
        <v>381</v>
      </c>
      <c r="B5" s="168">
        <v>290</v>
      </c>
      <c r="C5" s="168"/>
      <c r="D5" s="168"/>
    </row>
    <row r="6" spans="1:6">
      <c r="A6" s="168" t="s">
        <v>378</v>
      </c>
      <c r="B6" s="168">
        <v>456</v>
      </c>
      <c r="C6" s="168"/>
      <c r="D6" s="168"/>
    </row>
    <row r="7" spans="1:6">
      <c r="A7" s="168" t="s">
        <v>379</v>
      </c>
      <c r="B7" s="168">
        <v>290</v>
      </c>
      <c r="C7" s="168"/>
      <c r="D7" s="168"/>
    </row>
    <row r="8" spans="1:6">
      <c r="A8" s="168" t="s">
        <v>384</v>
      </c>
      <c r="B8" s="168" t="s">
        <v>385</v>
      </c>
      <c r="C8" s="168" t="s">
        <v>386</v>
      </c>
      <c r="D8" s="168"/>
    </row>
    <row r="10" spans="1:6">
      <c r="A10" s="170" t="s">
        <v>199</v>
      </c>
      <c r="B10" s="171" t="s">
        <v>204</v>
      </c>
      <c r="C10" s="171" t="s">
        <v>227</v>
      </c>
      <c r="D10" s="171" t="s">
        <v>205</v>
      </c>
      <c r="E10" s="171" t="s">
        <v>388</v>
      </c>
      <c r="F10" s="171" t="s">
        <v>389</v>
      </c>
    </row>
    <row r="11" spans="1:6">
      <c r="A11" s="171">
        <f>ROW()-10</f>
        <v>1</v>
      </c>
      <c r="B11" s="171" t="s">
        <v>200</v>
      </c>
      <c r="C11" s="171" t="s">
        <v>200</v>
      </c>
      <c r="D11" s="171" t="s">
        <v>462</v>
      </c>
      <c r="E11" s="171" t="s">
        <v>468</v>
      </c>
      <c r="F11" s="171" t="s">
        <v>390</v>
      </c>
    </row>
    <row r="12" spans="1:6">
      <c r="A12" s="171">
        <f t="shared" ref="A12:A40" si="0">ROW()-10</f>
        <v>2</v>
      </c>
      <c r="B12" s="171"/>
      <c r="C12" s="171"/>
      <c r="D12" s="171" t="s">
        <v>463</v>
      </c>
      <c r="E12" s="171" t="s">
        <v>469</v>
      </c>
      <c r="F12" s="171" t="s">
        <v>391</v>
      </c>
    </row>
    <row r="13" spans="1:6">
      <c r="A13" s="171">
        <f t="shared" si="0"/>
        <v>3</v>
      </c>
      <c r="B13" s="171"/>
      <c r="C13" s="171"/>
      <c r="D13" s="171" t="s">
        <v>464</v>
      </c>
      <c r="E13" s="171" t="s">
        <v>506</v>
      </c>
      <c r="F13" s="171" t="s">
        <v>391</v>
      </c>
    </row>
    <row r="14" spans="1:6">
      <c r="A14" s="171">
        <f t="shared" si="0"/>
        <v>4</v>
      </c>
      <c r="B14" s="171"/>
      <c r="C14" s="171"/>
      <c r="D14" s="171" t="s">
        <v>465</v>
      </c>
      <c r="E14" s="171" t="s">
        <v>470</v>
      </c>
      <c r="F14" s="171" t="s">
        <v>390</v>
      </c>
    </row>
    <row r="15" spans="1:6">
      <c r="A15" s="171">
        <f t="shared" si="0"/>
        <v>5</v>
      </c>
      <c r="B15" s="171"/>
      <c r="C15" s="171"/>
      <c r="D15" s="171" t="s">
        <v>387</v>
      </c>
      <c r="E15" s="171" t="s">
        <v>471</v>
      </c>
      <c r="F15" s="171" t="s">
        <v>411</v>
      </c>
    </row>
    <row r="16" spans="1:6">
      <c r="A16" s="171">
        <f t="shared" si="0"/>
        <v>6</v>
      </c>
      <c r="B16" s="171" t="s">
        <v>206</v>
      </c>
      <c r="C16" s="171"/>
      <c r="D16" s="171" t="s">
        <v>202</v>
      </c>
      <c r="E16" s="171" t="s">
        <v>413</v>
      </c>
      <c r="F16" s="171" t="s">
        <v>392</v>
      </c>
    </row>
    <row r="17" spans="1:6">
      <c r="A17" s="171">
        <f t="shared" si="0"/>
        <v>7</v>
      </c>
      <c r="B17" s="171"/>
      <c r="C17" s="171"/>
      <c r="D17" s="171" t="s">
        <v>203</v>
      </c>
      <c r="E17" s="171" t="s">
        <v>414</v>
      </c>
      <c r="F17" s="171" t="s">
        <v>392</v>
      </c>
    </row>
    <row r="18" spans="1:6">
      <c r="A18" s="171">
        <f t="shared" si="0"/>
        <v>8</v>
      </c>
      <c r="B18" s="171" t="s">
        <v>207</v>
      </c>
      <c r="C18" s="171" t="s">
        <v>207</v>
      </c>
      <c r="D18" s="171" t="s">
        <v>208</v>
      </c>
      <c r="E18" s="171" t="s">
        <v>393</v>
      </c>
      <c r="F18" s="171" t="s">
        <v>415</v>
      </c>
    </row>
    <row r="19" spans="1:6">
      <c r="A19" s="171">
        <f t="shared" si="0"/>
        <v>9</v>
      </c>
      <c r="B19" s="171"/>
      <c r="C19" s="171"/>
      <c r="D19" s="171" t="s">
        <v>209</v>
      </c>
      <c r="E19" s="171" t="s">
        <v>394</v>
      </c>
      <c r="F19" s="171" t="s">
        <v>415</v>
      </c>
    </row>
    <row r="20" spans="1:6">
      <c r="A20" s="171">
        <f t="shared" si="0"/>
        <v>10</v>
      </c>
      <c r="B20" s="171"/>
      <c r="C20" s="171"/>
      <c r="D20" s="171" t="s">
        <v>66</v>
      </c>
      <c r="E20" s="171" t="s">
        <v>395</v>
      </c>
      <c r="F20" s="171" t="s">
        <v>415</v>
      </c>
    </row>
    <row r="21" spans="1:6">
      <c r="A21" s="171">
        <f t="shared" si="0"/>
        <v>11</v>
      </c>
      <c r="B21" s="171"/>
      <c r="C21" s="171"/>
      <c r="D21" s="171" t="s">
        <v>63</v>
      </c>
      <c r="E21" s="171" t="s">
        <v>396</v>
      </c>
      <c r="F21" s="171" t="s">
        <v>415</v>
      </c>
    </row>
    <row r="22" spans="1:6">
      <c r="A22" s="171">
        <f t="shared" si="0"/>
        <v>12</v>
      </c>
      <c r="B22" s="171"/>
      <c r="C22" s="171" t="s">
        <v>212</v>
      </c>
      <c r="D22" s="171" t="s">
        <v>64</v>
      </c>
      <c r="E22" s="171" t="s">
        <v>397</v>
      </c>
      <c r="F22" s="171" t="s">
        <v>415</v>
      </c>
    </row>
    <row r="23" spans="1:6">
      <c r="A23" s="171">
        <f t="shared" si="0"/>
        <v>13</v>
      </c>
      <c r="B23" s="171"/>
      <c r="C23" s="171"/>
      <c r="D23" s="171" t="s">
        <v>65</v>
      </c>
      <c r="E23" s="171" t="s">
        <v>398</v>
      </c>
      <c r="F23" s="171" t="s">
        <v>415</v>
      </c>
    </row>
    <row r="24" spans="1:6">
      <c r="A24" s="171">
        <f t="shared" si="0"/>
        <v>14</v>
      </c>
      <c r="B24" s="171"/>
      <c r="C24" s="171"/>
      <c r="D24" s="171" t="s">
        <v>210</v>
      </c>
      <c r="E24" s="171" t="s">
        <v>399</v>
      </c>
      <c r="F24" s="171" t="s">
        <v>415</v>
      </c>
    </row>
    <row r="25" spans="1:6">
      <c r="A25" s="171">
        <f t="shared" si="0"/>
        <v>15</v>
      </c>
      <c r="B25" s="171"/>
      <c r="C25" s="171"/>
      <c r="D25" s="171" t="s">
        <v>211</v>
      </c>
      <c r="E25" s="171" t="s">
        <v>400</v>
      </c>
      <c r="F25" s="171" t="s">
        <v>415</v>
      </c>
    </row>
    <row r="26" spans="1:6">
      <c r="A26" s="171">
        <f t="shared" si="0"/>
        <v>16</v>
      </c>
      <c r="B26" s="171"/>
      <c r="C26" s="171"/>
      <c r="D26" s="171" t="s">
        <v>213</v>
      </c>
      <c r="E26" s="171" t="s">
        <v>395</v>
      </c>
      <c r="F26" s="171" t="s">
        <v>415</v>
      </c>
    </row>
    <row r="27" spans="1:6">
      <c r="A27" s="171">
        <f t="shared" si="0"/>
        <v>17</v>
      </c>
      <c r="B27" s="171" t="s">
        <v>214</v>
      </c>
      <c r="C27" s="171"/>
      <c r="D27" s="171" t="s">
        <v>218</v>
      </c>
      <c r="E27" s="171" t="s">
        <v>401</v>
      </c>
      <c r="F27" s="171" t="s">
        <v>402</v>
      </c>
    </row>
    <row r="28" spans="1:6">
      <c r="A28" s="171">
        <f t="shared" si="0"/>
        <v>18</v>
      </c>
      <c r="B28" s="171"/>
      <c r="C28" s="171"/>
      <c r="D28" s="171" t="s">
        <v>215</v>
      </c>
      <c r="E28" s="171" t="s">
        <v>403</v>
      </c>
      <c r="F28" s="171"/>
    </row>
    <row r="29" spans="1:6">
      <c r="A29" s="171">
        <f t="shared" si="0"/>
        <v>19</v>
      </c>
      <c r="B29" s="171"/>
      <c r="C29" s="171"/>
      <c r="D29" s="171" t="s">
        <v>216</v>
      </c>
      <c r="E29" s="171" t="s">
        <v>401</v>
      </c>
      <c r="F29" s="171"/>
    </row>
    <row r="30" spans="1:6">
      <c r="A30" s="171">
        <f t="shared" si="0"/>
        <v>20</v>
      </c>
      <c r="B30" s="171"/>
      <c r="C30" s="171"/>
      <c r="D30" s="171" t="s">
        <v>217</v>
      </c>
      <c r="E30" s="171" t="s">
        <v>404</v>
      </c>
      <c r="F30" s="171"/>
    </row>
    <row r="31" spans="1:6">
      <c r="A31" s="171">
        <f t="shared" si="0"/>
        <v>21</v>
      </c>
      <c r="B31" s="171" t="s">
        <v>224</v>
      </c>
      <c r="C31" s="171" t="s">
        <v>225</v>
      </c>
      <c r="D31" s="171" t="s">
        <v>219</v>
      </c>
      <c r="E31" s="171" t="s">
        <v>405</v>
      </c>
      <c r="F31" s="171" t="s">
        <v>412</v>
      </c>
    </row>
    <row r="32" spans="1:6">
      <c r="A32" s="171">
        <f t="shared" si="0"/>
        <v>22</v>
      </c>
      <c r="B32" s="171"/>
      <c r="C32" s="171"/>
      <c r="D32" s="171" t="s">
        <v>241</v>
      </c>
      <c r="E32" s="171" t="s">
        <v>406</v>
      </c>
      <c r="F32" s="171" t="s">
        <v>412</v>
      </c>
    </row>
    <row r="33" spans="1:6">
      <c r="A33" s="171">
        <f t="shared" si="0"/>
        <v>23</v>
      </c>
      <c r="B33" s="171"/>
      <c r="C33" s="171"/>
      <c r="D33" s="171" t="s">
        <v>220</v>
      </c>
      <c r="E33" s="171" t="s">
        <v>407</v>
      </c>
      <c r="F33" s="171" t="s">
        <v>412</v>
      </c>
    </row>
    <row r="34" spans="1:6">
      <c r="A34" s="171">
        <f t="shared" si="0"/>
        <v>24</v>
      </c>
      <c r="B34" s="171"/>
      <c r="C34" s="171"/>
      <c r="D34" s="171" t="s">
        <v>221</v>
      </c>
      <c r="E34" s="171" t="s">
        <v>408</v>
      </c>
      <c r="F34" s="171" t="s">
        <v>412</v>
      </c>
    </row>
    <row r="35" spans="1:6">
      <c r="A35" s="171">
        <f t="shared" si="0"/>
        <v>25</v>
      </c>
      <c r="B35" s="171"/>
      <c r="C35" s="171"/>
      <c r="D35" s="171" t="s">
        <v>226</v>
      </c>
      <c r="E35" s="171" t="s">
        <v>409</v>
      </c>
      <c r="F35" s="171" t="s">
        <v>412</v>
      </c>
    </row>
    <row r="36" spans="1:6">
      <c r="A36" s="171">
        <f t="shared" si="0"/>
        <v>26</v>
      </c>
      <c r="B36" s="171"/>
      <c r="C36" s="171" t="s">
        <v>222</v>
      </c>
      <c r="D36" s="171" t="s">
        <v>222</v>
      </c>
      <c r="E36" s="171" t="s">
        <v>410</v>
      </c>
      <c r="F36" s="171" t="s">
        <v>412</v>
      </c>
    </row>
    <row r="37" spans="1:6">
      <c r="A37" s="171">
        <f t="shared" si="0"/>
        <v>27</v>
      </c>
      <c r="B37" s="171" t="s">
        <v>223</v>
      </c>
      <c r="C37" s="171" t="s">
        <v>225</v>
      </c>
      <c r="D37" s="171" t="s">
        <v>219</v>
      </c>
      <c r="E37" s="171" t="s">
        <v>405</v>
      </c>
      <c r="F37" s="171" t="s">
        <v>412</v>
      </c>
    </row>
    <row r="38" spans="1:6">
      <c r="A38" s="171">
        <f t="shared" si="0"/>
        <v>28</v>
      </c>
      <c r="B38" s="171"/>
      <c r="C38" s="171"/>
      <c r="D38" s="171" t="s">
        <v>220</v>
      </c>
      <c r="E38" s="171" t="s">
        <v>407</v>
      </c>
      <c r="F38" s="171" t="s">
        <v>412</v>
      </c>
    </row>
    <row r="39" spans="1:6">
      <c r="A39" s="171">
        <f t="shared" si="0"/>
        <v>29</v>
      </c>
      <c r="B39" s="171"/>
      <c r="C39" s="171"/>
      <c r="D39" s="171" t="s">
        <v>221</v>
      </c>
      <c r="E39" s="171" t="s">
        <v>408</v>
      </c>
      <c r="F39" s="171" t="s">
        <v>412</v>
      </c>
    </row>
    <row r="40" spans="1:6">
      <c r="A40" s="171">
        <f t="shared" si="0"/>
        <v>30</v>
      </c>
      <c r="B40" s="171"/>
      <c r="C40" s="171" t="s">
        <v>222</v>
      </c>
      <c r="D40" s="171" t="s">
        <v>222</v>
      </c>
      <c r="E40" s="171" t="s">
        <v>410</v>
      </c>
      <c r="F40" s="171" t="s">
        <v>412</v>
      </c>
    </row>
  </sheetData>
  <phoneticPr fontId="4"/>
  <hyperlinks>
    <hyperlink ref="D4" r:id="rId1" xr:uid="{00000000-0004-0000-0500-000000000000}"/>
  </hyperlinks>
  <pageMargins left="0.7" right="0.7" top="0.75" bottom="0.75" header="0.3" footer="0.3"/>
  <pageSetup paperSize="9" scale="4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Y99"/>
  <sheetViews>
    <sheetView showGridLines="0" tabSelected="1" view="pageBreakPreview" zoomScaleNormal="70" zoomScaleSheetLayoutView="100" workbookViewId="0">
      <selection activeCell="I12" sqref="I12"/>
    </sheetView>
  </sheetViews>
  <sheetFormatPr baseColWidth="10" defaultColWidth="9" defaultRowHeight="14"/>
  <cols>
    <col min="1" max="1" width="27.5" style="166" bestFit="1" customWidth="1"/>
    <col min="2" max="2" width="12" style="166" bestFit="1" customWidth="1"/>
    <col min="3" max="3" width="11.6640625" style="166" bestFit="1" customWidth="1"/>
    <col min="4" max="4" width="14.6640625" style="166" customWidth="1"/>
    <col min="5" max="5" width="10.33203125" style="166" bestFit="1" customWidth="1"/>
    <col min="6" max="6" width="9" style="166"/>
    <col min="7" max="7" width="26.33203125" style="166" customWidth="1"/>
    <col min="8" max="8" width="17.6640625" style="166" customWidth="1"/>
    <col min="9" max="9" width="11" style="166" customWidth="1"/>
    <col min="10" max="10" width="12.83203125" style="166" bestFit="1" customWidth="1"/>
    <col min="11" max="11" width="11.6640625" style="166" customWidth="1"/>
    <col min="12" max="12" width="11.33203125" style="166" bestFit="1" customWidth="1"/>
    <col min="13" max="13" width="12.5" style="166" customWidth="1"/>
    <col min="14" max="15" width="9" style="166"/>
    <col min="16" max="16" width="19.33203125" style="166" bestFit="1" customWidth="1"/>
    <col min="17" max="17" width="9" style="166"/>
    <col min="18" max="18" width="11" style="166" bestFit="1" customWidth="1"/>
    <col min="19" max="16384" width="9" style="166"/>
  </cols>
  <sheetData>
    <row r="1" spans="1:15" ht="15">
      <c r="A1" s="176" t="s">
        <v>461</v>
      </c>
      <c r="H1" s="176" t="s">
        <v>552</v>
      </c>
    </row>
    <row r="2" spans="1:15">
      <c r="A2" s="172" t="s">
        <v>440</v>
      </c>
      <c r="B2" s="172" t="s">
        <v>416</v>
      </c>
      <c r="C2" s="172" t="s">
        <v>429</v>
      </c>
      <c r="D2" s="172" t="s">
        <v>417</v>
      </c>
      <c r="E2" s="166" t="s">
        <v>389</v>
      </c>
      <c r="H2" s="172" t="s">
        <v>473</v>
      </c>
      <c r="I2" s="172" t="s">
        <v>429</v>
      </c>
      <c r="J2" s="172" t="s">
        <v>417</v>
      </c>
      <c r="K2" s="172" t="s">
        <v>389</v>
      </c>
      <c r="L2" s="172" t="s">
        <v>457</v>
      </c>
      <c r="M2" s="172" t="s">
        <v>487</v>
      </c>
      <c r="O2" s="172"/>
    </row>
    <row r="3" spans="1:15">
      <c r="A3" s="180" t="s">
        <v>441</v>
      </c>
      <c r="B3" s="180" t="s">
        <v>418</v>
      </c>
      <c r="C3" s="181">
        <v>5</v>
      </c>
      <c r="D3" s="180" t="s">
        <v>431</v>
      </c>
      <c r="E3" s="180"/>
      <c r="F3" s="180"/>
      <c r="H3" s="180" t="s">
        <v>457</v>
      </c>
      <c r="I3" s="180"/>
      <c r="J3" s="180"/>
      <c r="K3" s="180"/>
      <c r="L3" s="188" t="s">
        <v>476</v>
      </c>
      <c r="M3" s="180">
        <f>SUM(M4:M7)</f>
        <v>511</v>
      </c>
    </row>
    <row r="4" spans="1:15">
      <c r="A4" s="180"/>
      <c r="B4" s="180" t="s">
        <v>419</v>
      </c>
      <c r="C4" s="181">
        <v>8</v>
      </c>
      <c r="D4" s="180" t="s">
        <v>431</v>
      </c>
      <c r="E4" s="180"/>
      <c r="F4" s="180"/>
      <c r="H4" s="184" t="s">
        <v>474</v>
      </c>
      <c r="I4" s="180"/>
      <c r="J4" s="180"/>
      <c r="K4" s="180"/>
      <c r="L4" s="184" t="s">
        <v>444</v>
      </c>
      <c r="M4" s="180">
        <f>ROUND(I5*$I$10*I14*$I$18,0)</f>
        <v>14</v>
      </c>
    </row>
    <row r="5" spans="1:15">
      <c r="A5" s="180"/>
      <c r="B5" s="180" t="s">
        <v>420</v>
      </c>
      <c r="C5" s="181">
        <v>1</v>
      </c>
      <c r="D5" s="180" t="s">
        <v>434</v>
      </c>
      <c r="E5" s="180"/>
      <c r="F5" s="180"/>
      <c r="H5" s="186" t="s">
        <v>444</v>
      </c>
      <c r="I5" s="180">
        <f>C41</f>
        <v>9</v>
      </c>
      <c r="J5" s="180" t="s">
        <v>503</v>
      </c>
      <c r="K5" s="180"/>
      <c r="L5" s="184" t="s">
        <v>445</v>
      </c>
      <c r="M5" s="180">
        <f>ROUND(I6*$I$10*I15*$I$18,0)</f>
        <v>297</v>
      </c>
    </row>
    <row r="6" spans="1:15">
      <c r="A6" s="180"/>
      <c r="B6" s="180" t="s">
        <v>421</v>
      </c>
      <c r="C6" s="180">
        <f>C3*C4*C5</f>
        <v>40</v>
      </c>
      <c r="D6" s="180" t="s">
        <v>433</v>
      </c>
      <c r="E6" s="180"/>
      <c r="F6" s="180"/>
      <c r="H6" s="186" t="s">
        <v>445</v>
      </c>
      <c r="I6" s="180">
        <f>C42</f>
        <v>120</v>
      </c>
      <c r="J6" s="180" t="s">
        <v>503</v>
      </c>
      <c r="K6" s="180"/>
      <c r="L6" s="184" t="s">
        <v>446</v>
      </c>
      <c r="M6" s="180">
        <f>ROUND(I7*$I$10*I16*$I$18,0)</f>
        <v>173</v>
      </c>
    </row>
    <row r="7" spans="1:15">
      <c r="A7" s="180"/>
      <c r="B7" s="180" t="s">
        <v>422</v>
      </c>
      <c r="C7" s="181">
        <v>2.5</v>
      </c>
      <c r="D7" s="180" t="s">
        <v>430</v>
      </c>
      <c r="E7" s="180"/>
      <c r="F7" s="180"/>
      <c r="H7" s="186" t="s">
        <v>446</v>
      </c>
      <c r="I7" s="180">
        <f>C43</f>
        <v>48</v>
      </c>
      <c r="J7" s="180" t="s">
        <v>503</v>
      </c>
      <c r="K7" s="180"/>
      <c r="L7" s="184" t="s">
        <v>447</v>
      </c>
      <c r="M7" s="180">
        <f>ROUND(I8*$I$10*I17*$I$18,0)</f>
        <v>27</v>
      </c>
    </row>
    <row r="8" spans="1:15">
      <c r="A8" s="180"/>
      <c r="B8" s="180" t="s">
        <v>423</v>
      </c>
      <c r="C8" s="181">
        <v>8</v>
      </c>
      <c r="D8" s="180" t="s">
        <v>430</v>
      </c>
      <c r="E8" s="180"/>
      <c r="F8" s="180"/>
      <c r="H8" s="186" t="s">
        <v>447</v>
      </c>
      <c r="I8" s="180">
        <f>C44</f>
        <v>5</v>
      </c>
      <c r="J8" s="180" t="s">
        <v>503</v>
      </c>
      <c r="K8" s="180"/>
      <c r="L8" s="188" t="s">
        <v>485</v>
      </c>
      <c r="M8" s="180">
        <f>SUM(M9:M12)</f>
        <v>852</v>
      </c>
      <c r="O8" s="166">
        <f>SUM(M4:M7)*4</f>
        <v>2044</v>
      </c>
    </row>
    <row r="9" spans="1:15">
      <c r="A9" s="180"/>
      <c r="B9" s="180" t="s">
        <v>424</v>
      </c>
      <c r="C9" s="180">
        <f>C6-C7*C8</f>
        <v>20</v>
      </c>
      <c r="D9" s="180" t="s">
        <v>432</v>
      </c>
      <c r="E9" s="180" t="s">
        <v>550</v>
      </c>
      <c r="F9" s="180"/>
      <c r="H9" s="184" t="s">
        <v>475</v>
      </c>
      <c r="I9" s="180"/>
      <c r="J9" s="180"/>
      <c r="K9" s="180"/>
      <c r="L9" s="184" t="s">
        <v>444</v>
      </c>
      <c r="M9" s="180">
        <f>ROUND(I5*$I$11*I14*$I$18,0)</f>
        <v>24</v>
      </c>
    </row>
    <row r="10" spans="1:15">
      <c r="A10" s="180"/>
      <c r="B10" s="180" t="s">
        <v>544</v>
      </c>
      <c r="C10" s="194">
        <f>C9*E10</f>
        <v>16</v>
      </c>
      <c r="D10" s="180"/>
      <c r="E10" s="185">
        <v>0.8</v>
      </c>
      <c r="F10" s="180"/>
      <c r="H10" s="186" t="s">
        <v>476</v>
      </c>
      <c r="I10" s="185">
        <v>0.3</v>
      </c>
      <c r="J10" s="180"/>
      <c r="K10" s="180"/>
      <c r="L10" s="184" t="s">
        <v>445</v>
      </c>
      <c r="M10" s="180">
        <f>ROUND(I6*$I$11*I15*$I$18,0)</f>
        <v>495</v>
      </c>
    </row>
    <row r="11" spans="1:15">
      <c r="A11" s="180" t="s">
        <v>442</v>
      </c>
      <c r="B11" s="180" t="s">
        <v>425</v>
      </c>
      <c r="C11" s="182">
        <f>競合比較分析!G13/E14</f>
        <v>33.042696741854641</v>
      </c>
      <c r="D11" s="183" t="s">
        <v>438</v>
      </c>
      <c r="E11" s="180"/>
      <c r="F11" s="180"/>
      <c r="H11" s="186" t="s">
        <v>477</v>
      </c>
      <c r="I11" s="185">
        <v>0.5</v>
      </c>
      <c r="J11" s="180"/>
      <c r="K11" s="180"/>
      <c r="L11" s="184" t="s">
        <v>446</v>
      </c>
      <c r="M11" s="180">
        <f>ROUND(I7*$I$11*I16*$I$18,0)</f>
        <v>288</v>
      </c>
    </row>
    <row r="12" spans="1:15">
      <c r="A12" s="180"/>
      <c r="B12" s="180" t="s">
        <v>426</v>
      </c>
      <c r="C12" s="182">
        <f>競合比較分析!H13/E14</f>
        <v>69.751298245614038</v>
      </c>
      <c r="D12" s="183" t="s">
        <v>438</v>
      </c>
      <c r="E12" s="180" t="s">
        <v>439</v>
      </c>
      <c r="F12" s="180"/>
      <c r="H12" s="186" t="s">
        <v>478</v>
      </c>
      <c r="I12" s="185">
        <v>0.8</v>
      </c>
      <c r="J12" s="180"/>
      <c r="K12" s="180"/>
      <c r="L12" s="184" t="s">
        <v>447</v>
      </c>
      <c r="M12" s="180">
        <f>ROUND(I8*$I$11*I17*$I$18,0)</f>
        <v>45</v>
      </c>
    </row>
    <row r="13" spans="1:15">
      <c r="A13" s="180" t="s">
        <v>454</v>
      </c>
      <c r="B13" s="180" t="s">
        <v>427</v>
      </c>
      <c r="C13" s="182">
        <f>競合比較分析!G27/E14</f>
        <v>2283.3221795154554</v>
      </c>
      <c r="D13" s="183" t="s">
        <v>438</v>
      </c>
      <c r="E13" s="180"/>
      <c r="F13" s="180"/>
      <c r="H13" s="184" t="s">
        <v>479</v>
      </c>
      <c r="I13" s="180"/>
      <c r="J13" s="180"/>
      <c r="K13" s="180"/>
      <c r="L13" s="188" t="s">
        <v>486</v>
      </c>
      <c r="M13" s="180">
        <f>SUM(M14:M17)</f>
        <v>1363</v>
      </c>
      <c r="O13" s="166">
        <f>SUM(M9:M12)*4</f>
        <v>3408</v>
      </c>
    </row>
    <row r="14" spans="1:15">
      <c r="A14" s="180"/>
      <c r="B14" s="180" t="s">
        <v>428</v>
      </c>
      <c r="C14" s="182">
        <f>競合比較分析!H27/E14</f>
        <v>4109.8398687385115</v>
      </c>
      <c r="D14" s="183" t="s">
        <v>438</v>
      </c>
      <c r="E14" s="181">
        <v>10000</v>
      </c>
      <c r="F14" s="180" t="s">
        <v>547</v>
      </c>
      <c r="H14" s="186" t="s">
        <v>444</v>
      </c>
      <c r="I14" s="180">
        <f>C46</f>
        <v>35</v>
      </c>
      <c r="J14" s="180" t="s">
        <v>438</v>
      </c>
      <c r="K14" s="180"/>
      <c r="L14" s="184" t="s">
        <v>444</v>
      </c>
      <c r="M14" s="180">
        <f>ROUND(I5*$I$12*I14*$I$18,0)</f>
        <v>38</v>
      </c>
    </row>
    <row r="15" spans="1:15">
      <c r="A15" s="180" t="s">
        <v>424</v>
      </c>
      <c r="B15" s="180" t="s">
        <v>443</v>
      </c>
      <c r="C15" s="180"/>
      <c r="D15" s="180"/>
      <c r="E15" s="180"/>
      <c r="F15" s="180"/>
      <c r="H15" s="186" t="s">
        <v>445</v>
      </c>
      <c r="I15" s="180">
        <f>C47</f>
        <v>55</v>
      </c>
      <c r="J15" s="180" t="s">
        <v>438</v>
      </c>
      <c r="K15" s="180"/>
      <c r="L15" s="184" t="s">
        <v>445</v>
      </c>
      <c r="M15" s="180">
        <f>ROUND(I6*$I$12*I15*$I$18,0)</f>
        <v>792</v>
      </c>
    </row>
    <row r="16" spans="1:15">
      <c r="A16" s="180"/>
      <c r="B16" s="184" t="s">
        <v>444</v>
      </c>
      <c r="C16" s="181">
        <v>0.3</v>
      </c>
      <c r="D16" s="180" t="s">
        <v>430</v>
      </c>
      <c r="E16" s="181">
        <v>0.25</v>
      </c>
      <c r="F16" s="180" t="s">
        <v>549</v>
      </c>
      <c r="H16" s="186" t="s">
        <v>446</v>
      </c>
      <c r="I16" s="180">
        <f>C48</f>
        <v>80</v>
      </c>
      <c r="J16" s="180" t="s">
        <v>438</v>
      </c>
      <c r="K16" s="180"/>
      <c r="L16" s="184" t="s">
        <v>446</v>
      </c>
      <c r="M16" s="180">
        <f>ROUND(I7*$I$12*I16*$I$18,0)</f>
        <v>461</v>
      </c>
    </row>
    <row r="17" spans="1:15">
      <c r="A17" s="180"/>
      <c r="B17" s="184" t="s">
        <v>445</v>
      </c>
      <c r="C17" s="181">
        <v>0.3</v>
      </c>
      <c r="D17" s="180" t="s">
        <v>430</v>
      </c>
      <c r="E17" s="181">
        <v>0.25</v>
      </c>
      <c r="F17" s="180" t="s">
        <v>549</v>
      </c>
      <c r="H17" s="186" t="s">
        <v>447</v>
      </c>
      <c r="I17" s="180">
        <f>C49</f>
        <v>120</v>
      </c>
      <c r="J17" s="180" t="s">
        <v>438</v>
      </c>
      <c r="K17" s="180"/>
      <c r="L17" s="184" t="s">
        <v>447</v>
      </c>
      <c r="M17" s="180">
        <f>ROUND(I8*$I$12*I17*$I$18,0)</f>
        <v>72</v>
      </c>
    </row>
    <row r="18" spans="1:15">
      <c r="A18" s="180"/>
      <c r="B18" s="184" t="s">
        <v>446</v>
      </c>
      <c r="C18" s="181">
        <v>0.35</v>
      </c>
      <c r="D18" s="180" t="s">
        <v>430</v>
      </c>
      <c r="E18" s="181">
        <v>0.3</v>
      </c>
      <c r="F18" s="180" t="s">
        <v>549</v>
      </c>
      <c r="H18" s="184" t="s">
        <v>480</v>
      </c>
      <c r="I18" s="185">
        <v>0.15</v>
      </c>
      <c r="J18" s="180"/>
      <c r="K18" s="180"/>
      <c r="O18" s="166">
        <f>SUM(M14:M17)*4</f>
        <v>5452</v>
      </c>
    </row>
    <row r="19" spans="1:15">
      <c r="A19" s="180"/>
      <c r="B19" s="184" t="s">
        <v>447</v>
      </c>
      <c r="C19" s="181">
        <v>0.6</v>
      </c>
      <c r="D19" s="180" t="s">
        <v>430</v>
      </c>
      <c r="E19" s="181">
        <v>0.5</v>
      </c>
      <c r="F19" s="180" t="s">
        <v>549</v>
      </c>
      <c r="H19" s="180" t="s">
        <v>481</v>
      </c>
      <c r="I19" s="180"/>
      <c r="J19" s="180"/>
      <c r="K19" s="180"/>
    </row>
    <row r="20" spans="1:15">
      <c r="A20" s="180"/>
      <c r="B20" s="180" t="s">
        <v>448</v>
      </c>
      <c r="C20" s="181"/>
      <c r="D20" s="180"/>
      <c r="E20" s="181"/>
      <c r="F20" s="180"/>
      <c r="H20" s="184" t="s">
        <v>482</v>
      </c>
      <c r="I20" s="181">
        <v>0</v>
      </c>
      <c r="J20" s="180" t="s">
        <v>438</v>
      </c>
      <c r="K20" s="180"/>
    </row>
    <row r="21" spans="1:15">
      <c r="A21" s="180"/>
      <c r="B21" s="184" t="s">
        <v>444</v>
      </c>
      <c r="C21" s="181">
        <v>0.3</v>
      </c>
      <c r="D21" s="180" t="s">
        <v>430</v>
      </c>
      <c r="E21" s="181">
        <v>0.25</v>
      </c>
      <c r="F21" s="180" t="s">
        <v>549</v>
      </c>
      <c r="H21" s="184" t="s">
        <v>483</v>
      </c>
      <c r="I21" s="181">
        <v>0</v>
      </c>
      <c r="J21" s="180" t="s">
        <v>438</v>
      </c>
      <c r="K21" s="180" t="s">
        <v>484</v>
      </c>
    </row>
    <row r="22" spans="1:15">
      <c r="A22" s="180"/>
      <c r="B22" s="184" t="s">
        <v>445</v>
      </c>
      <c r="C22" s="181">
        <v>0.3</v>
      </c>
      <c r="D22" s="180" t="s">
        <v>430</v>
      </c>
      <c r="E22" s="181">
        <v>0.25</v>
      </c>
      <c r="F22" s="180" t="s">
        <v>549</v>
      </c>
    </row>
    <row r="23" spans="1:15">
      <c r="A23" s="180"/>
      <c r="B23" s="184" t="s">
        <v>446</v>
      </c>
      <c r="C23" s="181">
        <v>0.35</v>
      </c>
      <c r="D23" s="180" t="s">
        <v>430</v>
      </c>
      <c r="E23" s="181">
        <v>0.3</v>
      </c>
      <c r="F23" s="180" t="s">
        <v>549</v>
      </c>
    </row>
    <row r="24" spans="1:15" ht="15">
      <c r="A24" s="180"/>
      <c r="B24" s="184" t="s">
        <v>447</v>
      </c>
      <c r="C24" s="181">
        <v>0.3</v>
      </c>
      <c r="D24" s="180" t="s">
        <v>430</v>
      </c>
      <c r="E24" s="181">
        <v>0.25</v>
      </c>
      <c r="F24" s="180" t="s">
        <v>549</v>
      </c>
      <c r="H24" s="176" t="s">
        <v>495</v>
      </c>
    </row>
    <row r="25" spans="1:15">
      <c r="A25" s="180"/>
      <c r="B25" s="180" t="s">
        <v>449</v>
      </c>
      <c r="C25" s="180"/>
      <c r="D25" s="180"/>
      <c r="E25" s="180"/>
      <c r="F25" s="180"/>
      <c r="H25" s="180" t="s">
        <v>488</v>
      </c>
      <c r="I25" s="187" t="s">
        <v>429</v>
      </c>
      <c r="J25" s="187" t="s">
        <v>417</v>
      </c>
      <c r="K25" s="180"/>
    </row>
    <row r="26" spans="1:15">
      <c r="A26" s="180"/>
      <c r="B26" s="184" t="s">
        <v>444</v>
      </c>
      <c r="C26" s="180">
        <f>C16*C21</f>
        <v>0.09</v>
      </c>
      <c r="D26" s="180" t="s">
        <v>432</v>
      </c>
      <c r="E26" s="180"/>
      <c r="F26" s="180"/>
      <c r="H26" s="184" t="s">
        <v>444</v>
      </c>
      <c r="I26" s="180">
        <f>C41*E46</f>
        <v>9</v>
      </c>
      <c r="J26" s="180" t="s">
        <v>243</v>
      </c>
      <c r="K26" s="180"/>
    </row>
    <row r="27" spans="1:15">
      <c r="A27" s="180"/>
      <c r="B27" s="184" t="s">
        <v>445</v>
      </c>
      <c r="C27" s="180">
        <f t="shared" ref="C27:C29" si="0">C17*C22</f>
        <v>0.09</v>
      </c>
      <c r="D27" s="180" t="s">
        <v>432</v>
      </c>
      <c r="E27" s="180"/>
      <c r="F27" s="180"/>
      <c r="H27" s="184" t="s">
        <v>445</v>
      </c>
      <c r="I27" s="180">
        <f>C42*E47</f>
        <v>240</v>
      </c>
      <c r="J27" s="180" t="s">
        <v>243</v>
      </c>
      <c r="K27" s="180"/>
    </row>
    <row r="28" spans="1:15">
      <c r="A28" s="180"/>
      <c r="B28" s="184" t="s">
        <v>446</v>
      </c>
      <c r="C28" s="180">
        <f t="shared" si="0"/>
        <v>0.12249999999999998</v>
      </c>
      <c r="D28" s="180" t="s">
        <v>432</v>
      </c>
      <c r="E28" s="180"/>
      <c r="F28" s="180"/>
      <c r="H28" s="184" t="s">
        <v>446</v>
      </c>
      <c r="I28" s="180">
        <f>C43*E48</f>
        <v>192</v>
      </c>
      <c r="J28" s="180" t="s">
        <v>243</v>
      </c>
      <c r="K28" s="180"/>
    </row>
    <row r="29" spans="1:15">
      <c r="A29" s="180"/>
      <c r="B29" s="184" t="s">
        <v>447</v>
      </c>
      <c r="C29" s="180">
        <f t="shared" si="0"/>
        <v>0.18</v>
      </c>
      <c r="D29" s="180" t="s">
        <v>432</v>
      </c>
      <c r="E29" s="180"/>
      <c r="F29" s="180"/>
      <c r="H29" s="184" t="s">
        <v>447</v>
      </c>
      <c r="I29" s="180">
        <f>C44*E49</f>
        <v>40</v>
      </c>
      <c r="J29" s="180" t="s">
        <v>243</v>
      </c>
      <c r="K29" s="180"/>
    </row>
    <row r="30" spans="1:15">
      <c r="A30" s="180" t="s">
        <v>424</v>
      </c>
      <c r="B30" s="180" t="s">
        <v>450</v>
      </c>
      <c r="C30" s="180"/>
      <c r="D30" s="180"/>
      <c r="E30" s="180"/>
      <c r="F30" s="180"/>
      <c r="H30" s="180" t="s">
        <v>489</v>
      </c>
      <c r="I30" s="185">
        <v>0.5</v>
      </c>
      <c r="J30" s="180" t="s">
        <v>508</v>
      </c>
      <c r="K30" s="180"/>
    </row>
    <row r="31" spans="1:15">
      <c r="A31" s="180"/>
      <c r="B31" s="184" t="s">
        <v>444</v>
      </c>
      <c r="C31" s="185">
        <v>0.05</v>
      </c>
      <c r="D31" s="180"/>
      <c r="E31" s="180"/>
      <c r="F31" s="180"/>
      <c r="H31" s="180" t="s">
        <v>490</v>
      </c>
      <c r="I31" s="181">
        <v>3</v>
      </c>
      <c r="J31" s="180" t="s">
        <v>438</v>
      </c>
      <c r="K31" s="180"/>
    </row>
    <row r="32" spans="1:15">
      <c r="A32" s="180"/>
      <c r="B32" s="184" t="s">
        <v>445</v>
      </c>
      <c r="C32" s="185">
        <v>0.3</v>
      </c>
      <c r="D32" s="180"/>
      <c r="E32" s="180"/>
      <c r="F32" s="180"/>
      <c r="H32" s="180" t="s">
        <v>491</v>
      </c>
      <c r="I32" s="180"/>
      <c r="J32" s="180"/>
      <c r="K32" s="180"/>
    </row>
    <row r="33" spans="1:25">
      <c r="A33" s="180"/>
      <c r="B33" s="184" t="s">
        <v>446</v>
      </c>
      <c r="C33" s="185">
        <v>0.6</v>
      </c>
      <c r="D33" s="180"/>
      <c r="E33" s="180"/>
      <c r="F33" s="180"/>
      <c r="H33" s="184" t="s">
        <v>444</v>
      </c>
      <c r="I33" s="180">
        <f>ROUND(I26*$I$30*$I$31*$I$10,0)</f>
        <v>4</v>
      </c>
      <c r="J33" s="180"/>
      <c r="K33" s="180"/>
      <c r="Y33" s="166" t="s">
        <v>494</v>
      </c>
    </row>
    <row r="34" spans="1:25">
      <c r="A34" s="180"/>
      <c r="B34" s="184" t="s">
        <v>447</v>
      </c>
      <c r="C34" s="185">
        <v>0.05</v>
      </c>
      <c r="D34" s="180"/>
      <c r="E34" s="180"/>
      <c r="F34" s="180"/>
      <c r="H34" s="184" t="s">
        <v>445</v>
      </c>
      <c r="I34" s="180">
        <f t="shared" ref="I34:I36" si="1">ROUND(I27*$I$30*$I$31*$I$10,0)</f>
        <v>108</v>
      </c>
      <c r="J34" s="180"/>
      <c r="K34" s="180"/>
    </row>
    <row r="35" spans="1:25">
      <c r="A35" s="180"/>
      <c r="B35" s="180" t="s">
        <v>452</v>
      </c>
      <c r="C35" s="180"/>
      <c r="D35" s="180"/>
      <c r="E35" s="180"/>
      <c r="F35" s="180"/>
      <c r="H35" s="184" t="s">
        <v>446</v>
      </c>
      <c r="I35" s="180">
        <f t="shared" si="1"/>
        <v>86</v>
      </c>
      <c r="J35" s="180"/>
      <c r="K35" s="180"/>
    </row>
    <row r="36" spans="1:25">
      <c r="A36" s="180"/>
      <c r="B36" s="184" t="s">
        <v>444</v>
      </c>
      <c r="C36" s="195">
        <f>ROUND(C31*$C$10,3)</f>
        <v>0.8</v>
      </c>
      <c r="D36" s="180" t="s">
        <v>432</v>
      </c>
      <c r="E36" s="180"/>
      <c r="F36" s="180"/>
      <c r="H36" s="184" t="s">
        <v>447</v>
      </c>
      <c r="I36" s="180">
        <f t="shared" si="1"/>
        <v>18</v>
      </c>
      <c r="J36" s="180"/>
      <c r="K36" s="180"/>
    </row>
    <row r="37" spans="1:25">
      <c r="A37" s="180"/>
      <c r="B37" s="184" t="s">
        <v>445</v>
      </c>
      <c r="C37" s="195">
        <f t="shared" ref="C37:C39" si="2">ROUND(C32*$C$10,3)</f>
        <v>4.8</v>
      </c>
      <c r="D37" s="180" t="s">
        <v>432</v>
      </c>
      <c r="E37" s="180"/>
      <c r="F37" s="180"/>
      <c r="H37" s="180" t="s">
        <v>492</v>
      </c>
      <c r="I37" s="180"/>
      <c r="J37" s="180"/>
      <c r="K37" s="180"/>
    </row>
    <row r="38" spans="1:25">
      <c r="A38" s="180"/>
      <c r="B38" s="184" t="s">
        <v>446</v>
      </c>
      <c r="C38" s="195">
        <f t="shared" si="2"/>
        <v>9.6</v>
      </c>
      <c r="D38" s="180" t="s">
        <v>432</v>
      </c>
      <c r="E38" s="180"/>
      <c r="F38" s="180"/>
      <c r="H38" s="184" t="s">
        <v>444</v>
      </c>
      <c r="I38" s="180">
        <f>ROUND(I26*$I$30*$I$31*$I$11,0)</f>
        <v>7</v>
      </c>
      <c r="J38" s="180"/>
      <c r="K38" s="180"/>
    </row>
    <row r="39" spans="1:25">
      <c r="A39" s="180"/>
      <c r="B39" s="184" t="s">
        <v>447</v>
      </c>
      <c r="C39" s="195">
        <f t="shared" si="2"/>
        <v>0.8</v>
      </c>
      <c r="D39" s="180" t="s">
        <v>432</v>
      </c>
      <c r="E39" s="180"/>
      <c r="F39" s="180"/>
      <c r="H39" s="184" t="s">
        <v>445</v>
      </c>
      <c r="I39" s="180">
        <f t="shared" ref="I39:I41" si="3">ROUND(I27*$I$30*$I$31*$I$11,0)</f>
        <v>180</v>
      </c>
      <c r="J39" s="180"/>
      <c r="K39" s="180"/>
    </row>
    <row r="40" spans="1:25">
      <c r="A40" s="180" t="s">
        <v>453</v>
      </c>
      <c r="B40" s="180" t="s">
        <v>451</v>
      </c>
      <c r="C40" s="180">
        <f>SUM(C41:C44)</f>
        <v>182</v>
      </c>
      <c r="D40" s="180"/>
      <c r="E40" s="180"/>
      <c r="F40" s="180"/>
      <c r="H40" s="184" t="s">
        <v>446</v>
      </c>
      <c r="I40" s="180">
        <f t="shared" si="3"/>
        <v>144</v>
      </c>
      <c r="J40" s="180"/>
      <c r="K40" s="180"/>
    </row>
    <row r="41" spans="1:25">
      <c r="A41" s="180"/>
      <c r="B41" s="184" t="s">
        <v>444</v>
      </c>
      <c r="C41" s="197">
        <v>9</v>
      </c>
      <c r="D41" s="180" t="s">
        <v>434</v>
      </c>
      <c r="E41" s="201"/>
      <c r="F41" s="180"/>
      <c r="H41" s="184" t="s">
        <v>447</v>
      </c>
      <c r="I41" s="180">
        <f t="shared" si="3"/>
        <v>30</v>
      </c>
      <c r="J41" s="180"/>
      <c r="K41" s="180"/>
    </row>
    <row r="42" spans="1:25">
      <c r="A42" s="180"/>
      <c r="B42" s="184" t="s">
        <v>445</v>
      </c>
      <c r="C42" s="197">
        <v>120</v>
      </c>
      <c r="D42" s="180" t="s">
        <v>434</v>
      </c>
      <c r="E42" s="201"/>
      <c r="F42" s="180"/>
      <c r="H42" s="180" t="s">
        <v>493</v>
      </c>
      <c r="I42" s="180"/>
      <c r="J42" s="180"/>
      <c r="K42" s="180"/>
    </row>
    <row r="43" spans="1:25">
      <c r="A43" s="180"/>
      <c r="B43" s="184" t="s">
        <v>446</v>
      </c>
      <c r="C43" s="197">
        <v>48</v>
      </c>
      <c r="D43" s="180" t="s">
        <v>434</v>
      </c>
      <c r="E43" s="201"/>
      <c r="F43" s="180"/>
      <c r="H43" s="184" t="s">
        <v>444</v>
      </c>
      <c r="I43" s="180">
        <f>ROUND(I26*$I$30*$I$31*$I$12,0)</f>
        <v>11</v>
      </c>
      <c r="J43" s="180"/>
      <c r="K43" s="180"/>
    </row>
    <row r="44" spans="1:25">
      <c r="A44" s="180"/>
      <c r="B44" s="184" t="s">
        <v>447</v>
      </c>
      <c r="C44" s="197">
        <v>5</v>
      </c>
      <c r="D44" s="180" t="s">
        <v>434</v>
      </c>
      <c r="E44" s="201"/>
      <c r="F44" s="180"/>
      <c r="H44" s="184" t="s">
        <v>445</v>
      </c>
      <c r="I44" s="180">
        <f t="shared" ref="I44:I46" si="4">ROUND(I27*$I$30*$I$31*$I$12,0)</f>
        <v>288</v>
      </c>
      <c r="J44" s="180"/>
      <c r="K44" s="180"/>
    </row>
    <row r="45" spans="1:25">
      <c r="A45" s="180" t="s">
        <v>200</v>
      </c>
      <c r="B45" s="180" t="s">
        <v>455</v>
      </c>
      <c r="C45" s="180"/>
      <c r="D45" s="180"/>
      <c r="E45" s="180"/>
      <c r="F45" s="180"/>
      <c r="H45" s="184" t="s">
        <v>446</v>
      </c>
      <c r="I45" s="180">
        <f t="shared" si="4"/>
        <v>230</v>
      </c>
      <c r="J45" s="180"/>
      <c r="K45" s="180"/>
    </row>
    <row r="46" spans="1:25">
      <c r="A46" s="180"/>
      <c r="B46" s="184" t="s">
        <v>444</v>
      </c>
      <c r="C46" s="197">
        <v>35</v>
      </c>
      <c r="D46" s="180" t="s">
        <v>438</v>
      </c>
      <c r="E46" s="181">
        <v>1</v>
      </c>
      <c r="F46" s="180" t="s">
        <v>456</v>
      </c>
      <c r="G46" s="198">
        <f>SUMPRODUCT(C41:C44*E46:E49)</f>
        <v>481</v>
      </c>
      <c r="H46" s="184" t="s">
        <v>447</v>
      </c>
      <c r="I46" s="180">
        <f t="shared" si="4"/>
        <v>48</v>
      </c>
      <c r="J46" s="180"/>
      <c r="K46" s="180"/>
    </row>
    <row r="47" spans="1:25">
      <c r="A47" s="180"/>
      <c r="B47" s="184" t="s">
        <v>445</v>
      </c>
      <c r="C47" s="197">
        <v>55</v>
      </c>
      <c r="D47" s="180" t="s">
        <v>438</v>
      </c>
      <c r="E47" s="181">
        <v>2</v>
      </c>
      <c r="F47" s="180" t="s">
        <v>456</v>
      </c>
      <c r="G47" s="198">
        <f>G46/C40</f>
        <v>2.6428571428571428</v>
      </c>
    </row>
    <row r="48" spans="1:25">
      <c r="A48" s="180"/>
      <c r="B48" s="184" t="s">
        <v>446</v>
      </c>
      <c r="C48" s="197">
        <v>80</v>
      </c>
      <c r="D48" s="180" t="s">
        <v>438</v>
      </c>
      <c r="E48" s="181">
        <v>4</v>
      </c>
      <c r="F48" s="180" t="s">
        <v>456</v>
      </c>
      <c r="G48" s="198"/>
    </row>
    <row r="49" spans="1:11" ht="15">
      <c r="A49" s="180"/>
      <c r="B49" s="184" t="s">
        <v>447</v>
      </c>
      <c r="C49" s="197">
        <v>120</v>
      </c>
      <c r="D49" s="180" t="s">
        <v>438</v>
      </c>
      <c r="E49" s="181">
        <v>8</v>
      </c>
      <c r="F49" s="180" t="s">
        <v>456</v>
      </c>
      <c r="G49" s="198"/>
      <c r="H49" s="176" t="s">
        <v>507</v>
      </c>
    </row>
    <row r="50" spans="1:11">
      <c r="A50" s="180" t="s">
        <v>200</v>
      </c>
      <c r="B50" s="180" t="s">
        <v>200</v>
      </c>
      <c r="C50" s="181"/>
      <c r="D50" s="185">
        <v>1</v>
      </c>
      <c r="E50" s="180" t="s">
        <v>467</v>
      </c>
      <c r="F50" s="180"/>
      <c r="H50" s="166" t="s">
        <v>496</v>
      </c>
    </row>
    <row r="51" spans="1:11">
      <c r="A51" s="180"/>
      <c r="B51" s="184" t="s">
        <v>444</v>
      </c>
      <c r="C51" s="180">
        <f>ROUND(C46*$D$50,-1)</f>
        <v>40</v>
      </c>
      <c r="D51" s="180"/>
      <c r="E51" s="181"/>
      <c r="F51" s="180"/>
      <c r="H51" s="184" t="s">
        <v>497</v>
      </c>
      <c r="I51" s="181">
        <v>2.5</v>
      </c>
      <c r="J51" s="180"/>
      <c r="K51" s="180"/>
    </row>
    <row r="52" spans="1:11">
      <c r="A52" s="180"/>
      <c r="B52" s="184" t="s">
        <v>445</v>
      </c>
      <c r="C52" s="180">
        <f t="shared" ref="C52:C54" si="5">ROUND(C47*$D$50,-1)</f>
        <v>60</v>
      </c>
      <c r="D52" s="180"/>
      <c r="E52" s="181"/>
      <c r="F52" s="180"/>
      <c r="H52" s="184" t="s">
        <v>498</v>
      </c>
      <c r="I52" s="181">
        <v>2.5</v>
      </c>
      <c r="J52" s="180"/>
      <c r="K52" s="180"/>
    </row>
    <row r="53" spans="1:11">
      <c r="A53" s="180"/>
      <c r="B53" s="184" t="s">
        <v>446</v>
      </c>
      <c r="C53" s="180">
        <f t="shared" si="5"/>
        <v>80</v>
      </c>
      <c r="D53" s="180"/>
      <c r="E53" s="181"/>
      <c r="F53" s="180"/>
      <c r="H53" s="184" t="s">
        <v>499</v>
      </c>
      <c r="I53" s="181">
        <v>2.5</v>
      </c>
      <c r="J53" s="180"/>
      <c r="K53" s="180"/>
    </row>
    <row r="54" spans="1:11">
      <c r="A54" s="180"/>
      <c r="B54" s="184" t="s">
        <v>447</v>
      </c>
      <c r="C54" s="180">
        <f t="shared" si="5"/>
        <v>120</v>
      </c>
      <c r="D54" s="180"/>
      <c r="E54" s="181"/>
      <c r="F54" s="180"/>
      <c r="H54" s="184" t="s">
        <v>500</v>
      </c>
      <c r="I54" s="181">
        <v>2.5</v>
      </c>
      <c r="J54" s="180"/>
      <c r="K54" s="180"/>
    </row>
    <row r="55" spans="1:11">
      <c r="A55" s="180" t="s">
        <v>457</v>
      </c>
      <c r="B55" s="180" t="s">
        <v>458</v>
      </c>
      <c r="C55" s="180"/>
      <c r="D55" s="180"/>
      <c r="E55" s="180"/>
      <c r="F55" s="180"/>
      <c r="H55" s="180" t="s">
        <v>501</v>
      </c>
      <c r="I55" s="181"/>
      <c r="J55" s="180"/>
      <c r="K55" s="180"/>
    </row>
    <row r="56" spans="1:11">
      <c r="A56" s="180"/>
      <c r="B56" s="184" t="s">
        <v>444</v>
      </c>
      <c r="C56" s="180">
        <f>C41*C46</f>
        <v>315</v>
      </c>
      <c r="D56" s="180" t="s">
        <v>438</v>
      </c>
      <c r="E56" s="180"/>
      <c r="F56" s="180"/>
      <c r="H56" s="184" t="s">
        <v>497</v>
      </c>
      <c r="I56" s="185">
        <v>0.5</v>
      </c>
      <c r="J56" s="180" t="s">
        <v>508</v>
      </c>
      <c r="K56" s="180"/>
    </row>
    <row r="57" spans="1:11">
      <c r="A57" s="180"/>
      <c r="B57" s="184" t="s">
        <v>445</v>
      </c>
      <c r="C57" s="180">
        <f t="shared" ref="C57:C59" si="6">C42*C47</f>
        <v>6600</v>
      </c>
      <c r="D57" s="180" t="s">
        <v>438</v>
      </c>
      <c r="E57" s="180"/>
      <c r="F57" s="180"/>
      <c r="H57" s="184" t="s">
        <v>498</v>
      </c>
      <c r="I57" s="185">
        <v>0.3</v>
      </c>
      <c r="J57" s="180"/>
      <c r="K57" s="180"/>
    </row>
    <row r="58" spans="1:11">
      <c r="A58" s="180"/>
      <c r="B58" s="184" t="s">
        <v>446</v>
      </c>
      <c r="C58" s="180">
        <f t="shared" si="6"/>
        <v>3840</v>
      </c>
      <c r="D58" s="180" t="s">
        <v>438</v>
      </c>
      <c r="E58" s="180"/>
      <c r="F58" s="180"/>
      <c r="H58" s="184" t="s">
        <v>499</v>
      </c>
      <c r="I58" s="185">
        <v>0.15</v>
      </c>
      <c r="J58" s="180"/>
      <c r="K58" s="180"/>
    </row>
    <row r="59" spans="1:11">
      <c r="A59" s="180"/>
      <c r="B59" s="184" t="s">
        <v>447</v>
      </c>
      <c r="C59" s="180">
        <f t="shared" si="6"/>
        <v>600</v>
      </c>
      <c r="D59" s="180" t="s">
        <v>438</v>
      </c>
      <c r="E59" s="180"/>
      <c r="F59" s="180"/>
      <c r="H59" s="184" t="s">
        <v>500</v>
      </c>
      <c r="I59" s="185">
        <v>0.05</v>
      </c>
      <c r="J59" s="180"/>
      <c r="K59" s="180"/>
    </row>
    <row r="60" spans="1:11">
      <c r="A60" s="180" t="s">
        <v>459</v>
      </c>
      <c r="B60" s="180" t="s">
        <v>460</v>
      </c>
      <c r="C60" s="180"/>
      <c r="D60" s="180"/>
      <c r="E60" s="180"/>
      <c r="F60" s="180"/>
      <c r="H60" s="180" t="s">
        <v>502</v>
      </c>
      <c r="I60" s="181">
        <v>3</v>
      </c>
      <c r="J60" s="180" t="s">
        <v>438</v>
      </c>
      <c r="K60" s="180"/>
    </row>
    <row r="61" spans="1:11">
      <c r="A61" s="180"/>
      <c r="B61" s="184" t="s">
        <v>444</v>
      </c>
      <c r="C61" s="180">
        <f>ROUND(C56/C36,0)</f>
        <v>394</v>
      </c>
      <c r="D61" s="180" t="s">
        <v>438</v>
      </c>
      <c r="E61" s="180"/>
      <c r="F61" s="180"/>
      <c r="H61" s="180" t="s">
        <v>491</v>
      </c>
      <c r="I61" s="180"/>
      <c r="J61" s="180"/>
      <c r="K61" s="180"/>
    </row>
    <row r="62" spans="1:11">
      <c r="A62" s="180"/>
      <c r="B62" s="184" t="s">
        <v>445</v>
      </c>
      <c r="C62" s="180">
        <f>ROUND(C57/C37,0)</f>
        <v>1375</v>
      </c>
      <c r="D62" s="180" t="s">
        <v>438</v>
      </c>
      <c r="E62" s="180"/>
      <c r="F62" s="180"/>
      <c r="H62" s="184" t="s">
        <v>444</v>
      </c>
      <c r="I62" s="180">
        <v>0</v>
      </c>
      <c r="J62" s="180"/>
      <c r="K62" s="180"/>
    </row>
    <row r="63" spans="1:11">
      <c r="A63" s="180"/>
      <c r="B63" s="184" t="s">
        <v>446</v>
      </c>
      <c r="C63" s="180">
        <f>ROUND(C58/C38,0)</f>
        <v>400</v>
      </c>
      <c r="D63" s="180" t="s">
        <v>438</v>
      </c>
      <c r="E63" s="180"/>
      <c r="F63" s="180"/>
      <c r="H63" s="184" t="s">
        <v>445</v>
      </c>
      <c r="I63" s="180">
        <v>0</v>
      </c>
      <c r="J63" s="180"/>
      <c r="K63" s="180"/>
    </row>
    <row r="64" spans="1:11">
      <c r="A64" s="180"/>
      <c r="B64" s="184" t="s">
        <v>447</v>
      </c>
      <c r="C64" s="180">
        <f>ROUND(C59/C39,0)</f>
        <v>750</v>
      </c>
      <c r="D64" s="180" t="s">
        <v>438</v>
      </c>
      <c r="E64" s="180"/>
      <c r="F64" s="180"/>
      <c r="H64" s="184" t="s">
        <v>446</v>
      </c>
      <c r="I64" s="180">
        <v>0</v>
      </c>
      <c r="J64" s="180"/>
      <c r="K64" s="180"/>
    </row>
    <row r="65" spans="1:11">
      <c r="A65" s="180"/>
      <c r="B65" s="180" t="s">
        <v>284</v>
      </c>
      <c r="C65" s="180"/>
      <c r="D65" s="180"/>
      <c r="E65" s="181">
        <v>3.3</v>
      </c>
      <c r="F65" s="180" t="s">
        <v>548</v>
      </c>
      <c r="H65" s="184" t="s">
        <v>447</v>
      </c>
      <c r="I65" s="180">
        <v>0</v>
      </c>
      <c r="J65" s="180"/>
      <c r="K65" s="180"/>
    </row>
    <row r="66" spans="1:11">
      <c r="A66" s="180"/>
      <c r="B66" s="184" t="s">
        <v>444</v>
      </c>
      <c r="C66" s="180">
        <f>ROUND(C61*$E$65,0)</f>
        <v>1300</v>
      </c>
      <c r="D66" s="180" t="s">
        <v>438</v>
      </c>
      <c r="E66" s="180"/>
      <c r="F66" s="180"/>
      <c r="H66" s="180" t="s">
        <v>492</v>
      </c>
      <c r="I66" s="180"/>
      <c r="J66" s="180" t="s">
        <v>504</v>
      </c>
      <c r="K66" s="180"/>
    </row>
    <row r="67" spans="1:11">
      <c r="A67" s="180"/>
      <c r="B67" s="184" t="s">
        <v>445</v>
      </c>
      <c r="C67" s="180">
        <f t="shared" ref="C67:C69" si="7">ROUND(C62*$E$65,0)</f>
        <v>4538</v>
      </c>
      <c r="D67" s="180" t="s">
        <v>438</v>
      </c>
      <c r="E67" s="180"/>
      <c r="F67" s="180"/>
      <c r="H67" s="184" t="s">
        <v>444</v>
      </c>
      <c r="I67" s="180">
        <f>ROUND(I26*I51*$I$56*$I$60*$I$11,0)</f>
        <v>17</v>
      </c>
      <c r="J67" s="180"/>
      <c r="K67" s="180"/>
    </row>
    <row r="68" spans="1:11">
      <c r="A68" s="180"/>
      <c r="B68" s="184" t="s">
        <v>446</v>
      </c>
      <c r="C68" s="180">
        <f t="shared" si="7"/>
        <v>1320</v>
      </c>
      <c r="D68" s="180" t="s">
        <v>438</v>
      </c>
      <c r="E68" s="180"/>
      <c r="F68" s="180"/>
      <c r="H68" s="184" t="s">
        <v>445</v>
      </c>
      <c r="I68" s="180">
        <f>ROUND(I27*I52*$I$56*$I$60*$I$11,0)</f>
        <v>450</v>
      </c>
      <c r="J68" s="180"/>
      <c r="K68" s="180"/>
    </row>
    <row r="69" spans="1:11">
      <c r="A69" s="180"/>
      <c r="B69" s="184" t="s">
        <v>447</v>
      </c>
      <c r="C69" s="180">
        <f t="shared" si="7"/>
        <v>2475</v>
      </c>
      <c r="D69" s="180" t="s">
        <v>438</v>
      </c>
      <c r="E69" s="180"/>
      <c r="F69" s="180"/>
      <c r="H69" s="184" t="s">
        <v>446</v>
      </c>
      <c r="I69" s="180">
        <f t="shared" ref="I69:I70" si="8">ROUND(I28*I53*$I$56*$I$60*$I$11,0)</f>
        <v>360</v>
      </c>
      <c r="J69" s="180"/>
      <c r="K69" s="180"/>
    </row>
    <row r="70" spans="1:11">
      <c r="H70" s="184" t="s">
        <v>447</v>
      </c>
      <c r="I70" s="180">
        <f t="shared" si="8"/>
        <v>75</v>
      </c>
      <c r="J70" s="180"/>
      <c r="K70" s="180"/>
    </row>
    <row r="71" spans="1:11">
      <c r="H71" s="180" t="s">
        <v>493</v>
      </c>
      <c r="I71" s="180"/>
      <c r="J71" s="180" t="s">
        <v>505</v>
      </c>
      <c r="K71" s="180"/>
    </row>
    <row r="72" spans="1:11">
      <c r="H72" s="184" t="s">
        <v>444</v>
      </c>
      <c r="I72" s="180">
        <f>ROUND(I26*$I$56*$I$51*$I$60*$I$12+I26*I51*$I$57*$I$60*$I$12,0)</f>
        <v>43</v>
      </c>
      <c r="J72" s="180"/>
      <c r="K72" s="180"/>
    </row>
    <row r="73" spans="1:11">
      <c r="H73" s="184" t="s">
        <v>445</v>
      </c>
      <c r="I73" s="180">
        <f t="shared" ref="I73:I75" si="9">ROUND(I27*$I$56*$I$51*$I$60*$I$12+I27*I52*$I$57*$I$60*$I$12,0)</f>
        <v>1152</v>
      </c>
      <c r="J73" s="180"/>
      <c r="K73" s="180"/>
    </row>
    <row r="74" spans="1:11">
      <c r="H74" s="184" t="s">
        <v>446</v>
      </c>
      <c r="I74" s="180">
        <f t="shared" si="9"/>
        <v>922</v>
      </c>
      <c r="J74" s="180"/>
      <c r="K74" s="180"/>
    </row>
    <row r="75" spans="1:11">
      <c r="H75" s="184" t="s">
        <v>447</v>
      </c>
      <c r="I75" s="180">
        <f t="shared" si="9"/>
        <v>192</v>
      </c>
      <c r="J75" s="180"/>
      <c r="K75" s="180"/>
    </row>
    <row r="77" spans="1:11" ht="15">
      <c r="H77" s="176" t="s">
        <v>558</v>
      </c>
    </row>
    <row r="78" spans="1:11">
      <c r="H78" s="180" t="s">
        <v>488</v>
      </c>
      <c r="I78" s="187" t="s">
        <v>429</v>
      </c>
      <c r="J78" s="187" t="s">
        <v>417</v>
      </c>
      <c r="K78" s="180"/>
    </row>
    <row r="79" spans="1:11" ht="15">
      <c r="A79" s="176" t="s">
        <v>553</v>
      </c>
      <c r="C79" s="166" t="s">
        <v>551</v>
      </c>
      <c r="D79" s="176" t="s">
        <v>554</v>
      </c>
      <c r="H79" s="184" t="s">
        <v>444</v>
      </c>
      <c r="I79" s="180">
        <f>I26</f>
        <v>9</v>
      </c>
      <c r="J79" s="180" t="s">
        <v>243</v>
      </c>
      <c r="K79" s="180"/>
    </row>
    <row r="80" spans="1:11">
      <c r="A80" s="199" t="s">
        <v>491</v>
      </c>
      <c r="B80" s="200">
        <f>SUM(B81:B84)</f>
        <v>2892</v>
      </c>
      <c r="C80" s="199"/>
      <c r="D80" s="199" t="s">
        <v>555</v>
      </c>
      <c r="E80" s="200">
        <f>SUM(E81:E84)</f>
        <v>147</v>
      </c>
      <c r="F80" s="199" t="s">
        <v>556</v>
      </c>
      <c r="H80" s="184" t="s">
        <v>445</v>
      </c>
      <c r="I80" s="180">
        <f t="shared" ref="I80:I82" si="10">I27</f>
        <v>240</v>
      </c>
      <c r="J80" s="180" t="s">
        <v>243</v>
      </c>
      <c r="K80" s="180"/>
    </row>
    <row r="81" spans="1:11">
      <c r="A81" s="184" t="s">
        <v>444</v>
      </c>
      <c r="B81" s="182">
        <f>M4+I33+I62+I86</f>
        <v>59</v>
      </c>
      <c r="C81" s="180"/>
      <c r="D81" s="184" t="s">
        <v>444</v>
      </c>
      <c r="E81" s="180">
        <f>ROUNDUP(I5*$I$12,0)</f>
        <v>8</v>
      </c>
      <c r="F81" s="180" t="s">
        <v>503</v>
      </c>
      <c r="H81" s="184" t="s">
        <v>446</v>
      </c>
      <c r="I81" s="180">
        <f t="shared" si="10"/>
        <v>192</v>
      </c>
      <c r="J81" s="180" t="s">
        <v>243</v>
      </c>
      <c r="K81" s="180"/>
    </row>
    <row r="82" spans="1:11">
      <c r="A82" s="184" t="s">
        <v>445</v>
      </c>
      <c r="B82" s="182">
        <f t="shared" ref="B82:B84" si="11">M5+I34+I63+I87</f>
        <v>1485</v>
      </c>
      <c r="C82" s="180"/>
      <c r="D82" s="186" t="s">
        <v>445</v>
      </c>
      <c r="E82" s="180">
        <f>ROUNDUP(I6*$I$12,0)</f>
        <v>96</v>
      </c>
      <c r="F82" s="180" t="s">
        <v>503</v>
      </c>
      <c r="H82" s="184" t="s">
        <v>447</v>
      </c>
      <c r="I82" s="180">
        <f t="shared" si="10"/>
        <v>40</v>
      </c>
      <c r="J82" s="180" t="s">
        <v>243</v>
      </c>
      <c r="K82" s="180"/>
    </row>
    <row r="83" spans="1:11">
      <c r="A83" s="184" t="s">
        <v>446</v>
      </c>
      <c r="B83" s="182">
        <f t="shared" si="11"/>
        <v>1123</v>
      </c>
      <c r="C83" s="180"/>
      <c r="D83" s="186" t="s">
        <v>446</v>
      </c>
      <c r="E83" s="180">
        <f>ROUNDUP(I7*$I$12,0)</f>
        <v>39</v>
      </c>
      <c r="F83" s="180" t="s">
        <v>503</v>
      </c>
      <c r="H83" s="180" t="s">
        <v>489</v>
      </c>
      <c r="I83" s="185">
        <v>0.5</v>
      </c>
      <c r="J83" s="180" t="s">
        <v>508</v>
      </c>
      <c r="K83" s="180"/>
    </row>
    <row r="84" spans="1:11">
      <c r="A84" s="184" t="s">
        <v>447</v>
      </c>
      <c r="B84" s="182">
        <f t="shared" si="11"/>
        <v>225</v>
      </c>
      <c r="C84" s="180"/>
      <c r="D84" s="186" t="s">
        <v>447</v>
      </c>
      <c r="E84" s="180">
        <f>ROUNDUP(I8*$I$12,0)</f>
        <v>4</v>
      </c>
      <c r="F84" s="180" t="s">
        <v>503</v>
      </c>
      <c r="H84" s="180" t="s">
        <v>490</v>
      </c>
      <c r="I84" s="181">
        <v>30</v>
      </c>
      <c r="J84" s="180" t="s">
        <v>383</v>
      </c>
      <c r="K84" s="180"/>
    </row>
    <row r="85" spans="1:11">
      <c r="A85" s="199" t="s">
        <v>492</v>
      </c>
      <c r="B85" s="200">
        <f>SUM(B86:B89)</f>
        <v>5723</v>
      </c>
      <c r="C85" s="199" t="s">
        <v>559</v>
      </c>
      <c r="D85" s="199" t="s">
        <v>243</v>
      </c>
      <c r="E85" s="200">
        <f>SUM(E86:E89)</f>
        <v>388</v>
      </c>
      <c r="F85" s="199" t="s">
        <v>557</v>
      </c>
      <c r="H85" s="180" t="s">
        <v>491</v>
      </c>
      <c r="I85" s="180"/>
      <c r="J85" s="180"/>
      <c r="K85" s="180"/>
    </row>
    <row r="86" spans="1:11">
      <c r="A86" s="184" t="s">
        <v>444</v>
      </c>
      <c r="B86" s="182">
        <f t="shared" ref="B86:B89" si="12">M9+I38+I67+I91</f>
        <v>116</v>
      </c>
      <c r="C86" s="180"/>
      <c r="D86" s="184" t="s">
        <v>444</v>
      </c>
      <c r="E86" s="180">
        <f>E81*E46</f>
        <v>8</v>
      </c>
      <c r="F86" s="180" t="s">
        <v>243</v>
      </c>
      <c r="H86" s="184" t="s">
        <v>444</v>
      </c>
      <c r="I86" s="180">
        <f>ROUND(I79*$I$83*$I$84*$I$10,0)</f>
        <v>41</v>
      </c>
      <c r="J86" s="180"/>
      <c r="K86" s="180"/>
    </row>
    <row r="87" spans="1:11">
      <c r="A87" s="184" t="s">
        <v>445</v>
      </c>
      <c r="B87" s="182">
        <f t="shared" si="12"/>
        <v>2925</v>
      </c>
      <c r="C87" s="180"/>
      <c r="D87" s="186" t="s">
        <v>445</v>
      </c>
      <c r="E87" s="180">
        <f>E82*E47</f>
        <v>192</v>
      </c>
      <c r="F87" s="180" t="s">
        <v>243</v>
      </c>
      <c r="H87" s="184" t="s">
        <v>445</v>
      </c>
      <c r="I87" s="180">
        <f t="shared" ref="I87:I89" si="13">ROUND(I80*$I$83*$I$84*$I$10,0)</f>
        <v>1080</v>
      </c>
      <c r="J87" s="180"/>
      <c r="K87" s="180"/>
    </row>
    <row r="88" spans="1:11">
      <c r="A88" s="184" t="s">
        <v>446</v>
      </c>
      <c r="B88" s="182">
        <f t="shared" si="12"/>
        <v>2232</v>
      </c>
      <c r="C88" s="180"/>
      <c r="D88" s="186" t="s">
        <v>446</v>
      </c>
      <c r="E88" s="180">
        <f>E83*E48</f>
        <v>156</v>
      </c>
      <c r="F88" s="180" t="s">
        <v>243</v>
      </c>
      <c r="H88" s="184" t="s">
        <v>446</v>
      </c>
      <c r="I88" s="180">
        <f t="shared" si="13"/>
        <v>864</v>
      </c>
      <c r="J88" s="180"/>
      <c r="K88" s="180"/>
    </row>
    <row r="89" spans="1:11">
      <c r="A89" s="184" t="s">
        <v>447</v>
      </c>
      <c r="B89" s="182">
        <f t="shared" si="12"/>
        <v>450</v>
      </c>
      <c r="C89" s="180"/>
      <c r="D89" s="186" t="s">
        <v>447</v>
      </c>
      <c r="E89" s="180">
        <f>E84*E49</f>
        <v>32</v>
      </c>
      <c r="F89" s="180" t="s">
        <v>243</v>
      </c>
      <c r="H89" s="184" t="s">
        <v>447</v>
      </c>
      <c r="I89" s="180">
        <f t="shared" si="13"/>
        <v>180</v>
      </c>
      <c r="J89" s="180"/>
      <c r="K89" s="180"/>
    </row>
    <row r="90" spans="1:11">
      <c r="A90" s="199" t="s">
        <v>493</v>
      </c>
      <c r="B90" s="200">
        <f>SUM(B91:B94)</f>
        <v>10021</v>
      </c>
      <c r="C90" s="199" t="s">
        <v>559</v>
      </c>
      <c r="H90" s="180" t="s">
        <v>492</v>
      </c>
      <c r="I90" s="180"/>
      <c r="J90" s="180"/>
      <c r="K90" s="180"/>
    </row>
    <row r="91" spans="1:11">
      <c r="A91" s="184" t="s">
        <v>444</v>
      </c>
      <c r="B91" s="182">
        <f t="shared" ref="B91:B94" si="14">M14+I43+I72+I96</f>
        <v>200</v>
      </c>
      <c r="C91" s="180"/>
      <c r="H91" s="184" t="s">
        <v>444</v>
      </c>
      <c r="I91" s="180">
        <f>ROUND(I79*$I$83*$I$84*$I$11,0)</f>
        <v>68</v>
      </c>
      <c r="J91" s="180"/>
      <c r="K91" s="180"/>
    </row>
    <row r="92" spans="1:11">
      <c r="A92" s="184" t="s">
        <v>445</v>
      </c>
      <c r="B92" s="182">
        <f t="shared" si="14"/>
        <v>5112</v>
      </c>
      <c r="C92" s="180"/>
      <c r="H92" s="184" t="s">
        <v>445</v>
      </c>
      <c r="I92" s="180">
        <f t="shared" ref="I92:I94" si="15">ROUND(I80*$I$83*$I$84*$I$11,0)</f>
        <v>1800</v>
      </c>
      <c r="J92" s="180"/>
      <c r="K92" s="180"/>
    </row>
    <row r="93" spans="1:11">
      <c r="A93" s="184" t="s">
        <v>446</v>
      </c>
      <c r="B93" s="182">
        <f t="shared" si="14"/>
        <v>3917</v>
      </c>
      <c r="C93" s="180"/>
      <c r="H93" s="184" t="s">
        <v>446</v>
      </c>
      <c r="I93" s="180">
        <f t="shared" si="15"/>
        <v>1440</v>
      </c>
      <c r="J93" s="180"/>
      <c r="K93" s="180"/>
    </row>
    <row r="94" spans="1:11">
      <c r="A94" s="184" t="s">
        <v>447</v>
      </c>
      <c r="B94" s="182">
        <f t="shared" si="14"/>
        <v>792</v>
      </c>
      <c r="C94" s="180"/>
      <c r="H94" s="184" t="s">
        <v>447</v>
      </c>
      <c r="I94" s="180">
        <f t="shared" si="15"/>
        <v>300</v>
      </c>
      <c r="J94" s="180"/>
      <c r="K94" s="180"/>
    </row>
    <row r="95" spans="1:11">
      <c r="H95" s="180" t="s">
        <v>493</v>
      </c>
      <c r="I95" s="180"/>
      <c r="J95" s="180"/>
      <c r="K95" s="180"/>
    </row>
    <row r="96" spans="1:11">
      <c r="H96" s="184" t="s">
        <v>444</v>
      </c>
      <c r="I96" s="180">
        <f>ROUND(I79*$I$83*$I$84*$I$12,0)</f>
        <v>108</v>
      </c>
      <c r="J96" s="180"/>
      <c r="K96" s="180"/>
    </row>
    <row r="97" spans="8:11">
      <c r="H97" s="184" t="s">
        <v>445</v>
      </c>
      <c r="I97" s="180">
        <f t="shared" ref="I97:I99" si="16">ROUND(I80*$I$83*$I$84*$I$12,0)</f>
        <v>2880</v>
      </c>
      <c r="J97" s="180"/>
      <c r="K97" s="180"/>
    </row>
    <row r="98" spans="8:11">
      <c r="H98" s="184" t="s">
        <v>446</v>
      </c>
      <c r="I98" s="180">
        <f t="shared" si="16"/>
        <v>2304</v>
      </c>
      <c r="J98" s="180"/>
      <c r="K98" s="180"/>
    </row>
    <row r="99" spans="8:11">
      <c r="H99" s="184" t="s">
        <v>447</v>
      </c>
      <c r="I99" s="180">
        <f t="shared" si="16"/>
        <v>480</v>
      </c>
      <c r="J99" s="180"/>
      <c r="K99" s="180"/>
    </row>
  </sheetData>
  <phoneticPr fontId="4"/>
  <pageMargins left="0.23622047244094491" right="0.23622047244094491" top="0.74803149606299213" bottom="0.74803149606299213" header="0.31496062992125984" footer="0.31496062992125984"/>
  <pageSetup paperSize="8" scale="71" orientation="portrait" r:id="rId1"/>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F27"/>
  <sheetViews>
    <sheetView workbookViewId="0"/>
  </sheetViews>
  <sheetFormatPr baseColWidth="10" defaultColWidth="9" defaultRowHeight="14"/>
  <cols>
    <col min="1" max="2" width="9" style="189"/>
    <col min="3" max="3" width="18" style="189" bestFit="1" customWidth="1"/>
    <col min="4" max="4" width="9" style="189"/>
    <col min="5" max="5" width="35.6640625" style="189" bestFit="1" customWidth="1"/>
    <col min="6" max="6" width="8" style="189" customWidth="1"/>
    <col min="7" max="16384" width="9" style="189"/>
  </cols>
  <sheetData>
    <row r="1" spans="1:6">
      <c r="A1" s="190" t="s">
        <v>522</v>
      </c>
    </row>
    <row r="3" spans="1:6">
      <c r="A3" s="191" t="s">
        <v>543</v>
      </c>
      <c r="B3" s="191" t="s">
        <v>523</v>
      </c>
      <c r="C3" s="191" t="s">
        <v>524</v>
      </c>
      <c r="D3" s="191" t="s">
        <v>536</v>
      </c>
      <c r="E3" s="191" t="s">
        <v>525</v>
      </c>
      <c r="F3" s="191" t="s">
        <v>526</v>
      </c>
    </row>
    <row r="4" spans="1:6">
      <c r="A4" s="192" t="s">
        <v>542</v>
      </c>
      <c r="B4" s="192"/>
      <c r="C4" s="192" t="s">
        <v>529</v>
      </c>
      <c r="D4" s="192">
        <v>2000</v>
      </c>
      <c r="E4" s="192"/>
      <c r="F4" s="192" t="s">
        <v>538</v>
      </c>
    </row>
    <row r="5" spans="1:6">
      <c r="A5" s="192" t="s">
        <v>539</v>
      </c>
      <c r="B5" s="192"/>
      <c r="C5" s="192" t="s">
        <v>530</v>
      </c>
      <c r="D5" s="192"/>
      <c r="E5" s="192"/>
      <c r="F5" s="192"/>
    </row>
    <row r="6" spans="1:6">
      <c r="A6" s="192"/>
      <c r="B6" s="192" t="s">
        <v>513</v>
      </c>
      <c r="C6" s="192" t="s">
        <v>530</v>
      </c>
      <c r="D6" s="192">
        <v>700</v>
      </c>
      <c r="E6" s="192" t="s">
        <v>532</v>
      </c>
      <c r="F6" s="192" t="s">
        <v>531</v>
      </c>
    </row>
    <row r="7" spans="1:6">
      <c r="A7" s="192"/>
      <c r="B7" s="192"/>
      <c r="C7" s="192" t="s">
        <v>246</v>
      </c>
      <c r="D7" s="192" t="s">
        <v>533</v>
      </c>
      <c r="E7" s="192"/>
      <c r="F7" s="192"/>
    </row>
    <row r="8" spans="1:6">
      <c r="A8" s="192"/>
      <c r="B8" s="192"/>
      <c r="C8" s="192" t="s">
        <v>247</v>
      </c>
      <c r="D8" s="192" t="s">
        <v>533</v>
      </c>
      <c r="E8" s="192"/>
      <c r="F8" s="192"/>
    </row>
    <row r="9" spans="1:6">
      <c r="A9" s="192"/>
      <c r="B9" s="192"/>
      <c r="C9" s="192" t="s">
        <v>248</v>
      </c>
      <c r="D9" s="192" t="s">
        <v>533</v>
      </c>
      <c r="E9" s="192"/>
      <c r="F9" s="192"/>
    </row>
    <row r="10" spans="1:6">
      <c r="A10" s="192"/>
      <c r="B10" s="192"/>
      <c r="C10" s="192" t="s">
        <v>514</v>
      </c>
      <c r="D10" s="192" t="s">
        <v>533</v>
      </c>
      <c r="E10" s="192" t="s">
        <v>537</v>
      </c>
      <c r="F10" s="192"/>
    </row>
    <row r="11" spans="1:6">
      <c r="A11" s="192"/>
      <c r="B11" s="192" t="s">
        <v>527</v>
      </c>
      <c r="C11" s="192" t="s">
        <v>528</v>
      </c>
      <c r="D11" s="192" t="s">
        <v>528</v>
      </c>
      <c r="E11" s="192" t="s">
        <v>118</v>
      </c>
      <c r="F11" s="192"/>
    </row>
    <row r="12" spans="1:6">
      <c r="A12" s="192"/>
      <c r="B12" s="192"/>
      <c r="C12" s="192"/>
      <c r="D12" s="192" t="s">
        <v>118</v>
      </c>
      <c r="E12" s="192"/>
      <c r="F12" s="192"/>
    </row>
    <row r="13" spans="1:6">
      <c r="A13" s="192"/>
      <c r="B13" s="192"/>
      <c r="C13" s="192"/>
      <c r="D13" s="192" t="s">
        <v>118</v>
      </c>
      <c r="E13" s="192"/>
      <c r="F13" s="192"/>
    </row>
    <row r="14" spans="1:6">
      <c r="A14" s="192"/>
      <c r="B14" s="192"/>
      <c r="C14" s="192"/>
      <c r="D14" s="192" t="s">
        <v>118</v>
      </c>
      <c r="E14" s="192"/>
      <c r="F14" s="192"/>
    </row>
    <row r="15" spans="1:6">
      <c r="A15" s="192"/>
      <c r="B15" s="192"/>
      <c r="C15" s="192"/>
      <c r="D15" s="192" t="s">
        <v>118</v>
      </c>
      <c r="E15" s="192"/>
      <c r="F15" s="192"/>
    </row>
    <row r="16" spans="1:6">
      <c r="A16" s="192" t="s">
        <v>540</v>
      </c>
      <c r="B16" s="192"/>
      <c r="C16" s="192" t="s">
        <v>530</v>
      </c>
      <c r="D16" s="192" t="s">
        <v>118</v>
      </c>
      <c r="E16" s="192"/>
      <c r="F16" s="192" t="s">
        <v>541</v>
      </c>
    </row>
    <row r="17" spans="1:6">
      <c r="A17" s="192"/>
      <c r="B17" s="192" t="s">
        <v>509</v>
      </c>
      <c r="C17" s="192" t="s">
        <v>530</v>
      </c>
      <c r="D17" s="192"/>
      <c r="E17" s="192"/>
      <c r="F17" s="192"/>
    </row>
    <row r="18" spans="1:6">
      <c r="A18" s="192"/>
      <c r="B18" s="192"/>
      <c r="C18" s="192" t="s">
        <v>510</v>
      </c>
      <c r="D18" s="192">
        <v>3</v>
      </c>
      <c r="E18" s="192"/>
      <c r="F18" s="192"/>
    </row>
    <row r="19" spans="1:6">
      <c r="A19" s="192"/>
      <c r="B19" s="192"/>
      <c r="C19" s="192" t="s">
        <v>520</v>
      </c>
      <c r="D19" s="192" t="s">
        <v>534</v>
      </c>
      <c r="E19" s="192"/>
      <c r="F19" s="192"/>
    </row>
    <row r="20" spans="1:6">
      <c r="A20" s="192"/>
      <c r="B20" s="192"/>
      <c r="C20" s="192" t="s">
        <v>511</v>
      </c>
      <c r="D20" s="192">
        <v>50</v>
      </c>
      <c r="E20" s="192"/>
      <c r="F20" s="192"/>
    </row>
    <row r="21" spans="1:6">
      <c r="A21" s="192"/>
      <c r="B21" s="192"/>
      <c r="C21" s="192" t="s">
        <v>512</v>
      </c>
      <c r="D21" s="192">
        <v>500</v>
      </c>
      <c r="E21" s="193" t="s">
        <v>515</v>
      </c>
      <c r="F21" s="192"/>
    </row>
    <row r="22" spans="1:6">
      <c r="A22" s="192"/>
      <c r="B22" s="192"/>
      <c r="C22" s="192" t="s">
        <v>516</v>
      </c>
      <c r="D22" s="192"/>
      <c r="E22" s="192" t="s">
        <v>518</v>
      </c>
      <c r="F22" s="192" t="s">
        <v>535</v>
      </c>
    </row>
    <row r="23" spans="1:6">
      <c r="A23" s="192"/>
      <c r="B23" s="192"/>
      <c r="C23" s="192" t="s">
        <v>517</v>
      </c>
      <c r="D23" s="192"/>
      <c r="E23" s="192" t="s">
        <v>519</v>
      </c>
      <c r="F23" s="192"/>
    </row>
    <row r="24" spans="1:6" ht="11.25" customHeight="1">
      <c r="A24" s="192"/>
      <c r="B24" s="192"/>
      <c r="C24" s="192" t="s">
        <v>521</v>
      </c>
      <c r="D24" s="192"/>
      <c r="E24" s="192"/>
      <c r="F24" s="192"/>
    </row>
    <row r="25" spans="1:6">
      <c r="A25" s="192"/>
      <c r="B25" s="192" t="s">
        <v>527</v>
      </c>
      <c r="C25" s="192" t="s">
        <v>528</v>
      </c>
      <c r="D25" s="192" t="s">
        <v>528</v>
      </c>
      <c r="E25" s="192" t="s">
        <v>118</v>
      </c>
      <c r="F25" s="192"/>
    </row>
    <row r="26" spans="1:6">
      <c r="A26" s="192"/>
      <c r="B26" s="192"/>
      <c r="C26" s="192"/>
      <c r="D26" s="192" t="s">
        <v>118</v>
      </c>
      <c r="E26" s="192"/>
      <c r="F26" s="192"/>
    </row>
    <row r="27" spans="1:6">
      <c r="A27" s="192"/>
      <c r="B27" s="192"/>
      <c r="C27" s="192"/>
      <c r="D27" s="192" t="s">
        <v>118</v>
      </c>
      <c r="E27" s="192"/>
      <c r="F27" s="192"/>
    </row>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1"/>
  <sheetViews>
    <sheetView showGridLines="0" zoomScale="70" zoomScaleNormal="70" zoomScaleSheetLayoutView="98" workbookViewId="0">
      <selection activeCell="P21" sqref="A2:P21"/>
    </sheetView>
  </sheetViews>
  <sheetFormatPr baseColWidth="10" defaultColWidth="8.83203125" defaultRowHeight="14"/>
  <cols>
    <col min="1" max="1" width="10.33203125" style="2" bestFit="1" customWidth="1"/>
    <col min="2" max="2" width="16.6640625" style="2" bestFit="1" customWidth="1"/>
    <col min="3" max="3" width="9.83203125" style="2" bestFit="1" customWidth="1"/>
    <col min="4" max="4" width="10.6640625" style="2" customWidth="1"/>
    <col min="5" max="5" width="12.6640625" style="2" customWidth="1"/>
    <col min="6" max="7" width="10.6640625" style="2" customWidth="1"/>
    <col min="8" max="8" width="12.6640625" style="2" customWidth="1"/>
    <col min="9" max="10" width="10.6640625" style="2" customWidth="1"/>
    <col min="11" max="11" width="12.6640625" style="2" customWidth="1"/>
    <col min="12" max="13" width="10.6640625" style="2" customWidth="1"/>
    <col min="14" max="14" width="12.6640625" style="2" customWidth="1"/>
    <col min="15" max="15" width="10.6640625" style="2" customWidth="1"/>
    <col min="16" max="16" width="16.6640625" style="2" customWidth="1"/>
    <col min="17" max="17" width="2" style="2" customWidth="1"/>
    <col min="18" max="18" width="21.1640625" style="2" customWidth="1"/>
    <col min="19" max="19" width="6.6640625" style="2" customWidth="1"/>
    <col min="20" max="20" width="9.1640625" style="2" bestFit="1" customWidth="1"/>
    <col min="21" max="21" width="3.6640625" style="2" customWidth="1"/>
    <col min="22" max="22" width="13.5" style="2" customWidth="1"/>
    <col min="23" max="23" width="13.83203125" style="2" customWidth="1"/>
    <col min="24" max="24" width="12.6640625" style="2" customWidth="1"/>
    <col min="25" max="260" width="9" style="2"/>
    <col min="261" max="261" width="9.33203125" style="2" bestFit="1" customWidth="1"/>
    <col min="262" max="262" width="11.83203125" style="2" customWidth="1"/>
    <col min="263" max="263" width="9.33203125" style="2" bestFit="1" customWidth="1"/>
    <col min="264" max="271" width="10.6640625" style="2" customWidth="1"/>
    <col min="272" max="272" width="0" style="2" hidden="1" customWidth="1"/>
    <col min="273" max="273" width="2" style="2" customWidth="1"/>
    <col min="274" max="274" width="21.1640625" style="2" customWidth="1"/>
    <col min="275" max="275" width="6.6640625" style="2" customWidth="1"/>
    <col min="276" max="276" width="9.1640625" style="2" bestFit="1" customWidth="1"/>
    <col min="277" max="277" width="3.6640625" style="2" customWidth="1"/>
    <col min="278" max="278" width="13.5" style="2" customWidth="1"/>
    <col min="279" max="279" width="13.83203125" style="2" customWidth="1"/>
    <col min="280" max="280" width="12.6640625" style="2" customWidth="1"/>
    <col min="281" max="516" width="9" style="2"/>
    <col min="517" max="517" width="9.33203125" style="2" bestFit="1" customWidth="1"/>
    <col min="518" max="518" width="11.83203125" style="2" customWidth="1"/>
    <col min="519" max="519" width="9.33203125" style="2" bestFit="1" customWidth="1"/>
    <col min="520" max="527" width="10.6640625" style="2" customWidth="1"/>
    <col min="528" max="528" width="0" style="2" hidden="1" customWidth="1"/>
    <col min="529" max="529" width="2" style="2" customWidth="1"/>
    <col min="530" max="530" width="21.1640625" style="2" customWidth="1"/>
    <col min="531" max="531" width="6.6640625" style="2" customWidth="1"/>
    <col min="532" max="532" width="9.1640625" style="2" bestFit="1" customWidth="1"/>
    <col min="533" max="533" width="3.6640625" style="2" customWidth="1"/>
    <col min="534" max="534" width="13.5" style="2" customWidth="1"/>
    <col min="535" max="535" width="13.83203125" style="2" customWidth="1"/>
    <col min="536" max="536" width="12.6640625" style="2" customWidth="1"/>
    <col min="537" max="772" width="9" style="2"/>
    <col min="773" max="773" width="9.33203125" style="2" bestFit="1" customWidth="1"/>
    <col min="774" max="774" width="11.83203125" style="2" customWidth="1"/>
    <col min="775" max="775" width="9.33203125" style="2" bestFit="1" customWidth="1"/>
    <col min="776" max="783" width="10.6640625" style="2" customWidth="1"/>
    <col min="784" max="784" width="0" style="2" hidden="1" customWidth="1"/>
    <col min="785" max="785" width="2" style="2" customWidth="1"/>
    <col min="786" max="786" width="21.1640625" style="2" customWidth="1"/>
    <col min="787" max="787" width="6.6640625" style="2" customWidth="1"/>
    <col min="788" max="788" width="9.1640625" style="2" bestFit="1" customWidth="1"/>
    <col min="789" max="789" width="3.6640625" style="2" customWidth="1"/>
    <col min="790" max="790" width="13.5" style="2" customWidth="1"/>
    <col min="791" max="791" width="13.83203125" style="2" customWidth="1"/>
    <col min="792" max="792" width="12.6640625" style="2" customWidth="1"/>
    <col min="793" max="1028" width="9" style="2"/>
    <col min="1029" max="1029" width="9.33203125" style="2" bestFit="1" customWidth="1"/>
    <col min="1030" max="1030" width="11.83203125" style="2" customWidth="1"/>
    <col min="1031" max="1031" width="9.33203125" style="2" bestFit="1" customWidth="1"/>
    <col min="1032" max="1039" width="10.6640625" style="2" customWidth="1"/>
    <col min="1040" max="1040" width="0" style="2" hidden="1" customWidth="1"/>
    <col min="1041" max="1041" width="2" style="2" customWidth="1"/>
    <col min="1042" max="1042" width="21.1640625" style="2" customWidth="1"/>
    <col min="1043" max="1043" width="6.6640625" style="2" customWidth="1"/>
    <col min="1044" max="1044" width="9.1640625" style="2" bestFit="1" customWidth="1"/>
    <col min="1045" max="1045" width="3.6640625" style="2" customWidth="1"/>
    <col min="1046" max="1046" width="13.5" style="2" customWidth="1"/>
    <col min="1047" max="1047" width="13.83203125" style="2" customWidth="1"/>
    <col min="1048" max="1048" width="12.6640625" style="2" customWidth="1"/>
    <col min="1049" max="1284" width="9" style="2"/>
    <col min="1285" max="1285" width="9.33203125" style="2" bestFit="1" customWidth="1"/>
    <col min="1286" max="1286" width="11.83203125" style="2" customWidth="1"/>
    <col min="1287" max="1287" width="9.33203125" style="2" bestFit="1" customWidth="1"/>
    <col min="1288" max="1295" width="10.6640625" style="2" customWidth="1"/>
    <col min="1296" max="1296" width="0" style="2" hidden="1" customWidth="1"/>
    <col min="1297" max="1297" width="2" style="2" customWidth="1"/>
    <col min="1298" max="1298" width="21.1640625" style="2" customWidth="1"/>
    <col min="1299" max="1299" width="6.6640625" style="2" customWidth="1"/>
    <col min="1300" max="1300" width="9.1640625" style="2" bestFit="1" customWidth="1"/>
    <col min="1301" max="1301" width="3.6640625" style="2" customWidth="1"/>
    <col min="1302" max="1302" width="13.5" style="2" customWidth="1"/>
    <col min="1303" max="1303" width="13.83203125" style="2" customWidth="1"/>
    <col min="1304" max="1304" width="12.6640625" style="2" customWidth="1"/>
    <col min="1305" max="1540" width="9" style="2"/>
    <col min="1541" max="1541" width="9.33203125" style="2" bestFit="1" customWidth="1"/>
    <col min="1542" max="1542" width="11.83203125" style="2" customWidth="1"/>
    <col min="1543" max="1543" width="9.33203125" style="2" bestFit="1" customWidth="1"/>
    <col min="1544" max="1551" width="10.6640625" style="2" customWidth="1"/>
    <col min="1552" max="1552" width="0" style="2" hidden="1" customWidth="1"/>
    <col min="1553" max="1553" width="2" style="2" customWidth="1"/>
    <col min="1554" max="1554" width="21.1640625" style="2" customWidth="1"/>
    <col min="1555" max="1555" width="6.6640625" style="2" customWidth="1"/>
    <col min="1556" max="1556" width="9.1640625" style="2" bestFit="1" customWidth="1"/>
    <col min="1557" max="1557" width="3.6640625" style="2" customWidth="1"/>
    <col min="1558" max="1558" width="13.5" style="2" customWidth="1"/>
    <col min="1559" max="1559" width="13.83203125" style="2" customWidth="1"/>
    <col min="1560" max="1560" width="12.6640625" style="2" customWidth="1"/>
    <col min="1561" max="1796" width="9" style="2"/>
    <col min="1797" max="1797" width="9.33203125" style="2" bestFit="1" customWidth="1"/>
    <col min="1798" max="1798" width="11.83203125" style="2" customWidth="1"/>
    <col min="1799" max="1799" width="9.33203125" style="2" bestFit="1" customWidth="1"/>
    <col min="1800" max="1807" width="10.6640625" style="2" customWidth="1"/>
    <col min="1808" max="1808" width="0" style="2" hidden="1" customWidth="1"/>
    <col min="1809" max="1809" width="2" style="2" customWidth="1"/>
    <col min="1810" max="1810" width="21.1640625" style="2" customWidth="1"/>
    <col min="1811" max="1811" width="6.6640625" style="2" customWidth="1"/>
    <col min="1812" max="1812" width="9.1640625" style="2" bestFit="1" customWidth="1"/>
    <col min="1813" max="1813" width="3.6640625" style="2" customWidth="1"/>
    <col min="1814" max="1814" width="13.5" style="2" customWidth="1"/>
    <col min="1815" max="1815" width="13.83203125" style="2" customWidth="1"/>
    <col min="1816" max="1816" width="12.6640625" style="2" customWidth="1"/>
    <col min="1817" max="2052" width="9" style="2"/>
    <col min="2053" max="2053" width="9.33203125" style="2" bestFit="1" customWidth="1"/>
    <col min="2054" max="2054" width="11.83203125" style="2" customWidth="1"/>
    <col min="2055" max="2055" width="9.33203125" style="2" bestFit="1" customWidth="1"/>
    <col min="2056" max="2063" width="10.6640625" style="2" customWidth="1"/>
    <col min="2064" max="2064" width="0" style="2" hidden="1" customWidth="1"/>
    <col min="2065" max="2065" width="2" style="2" customWidth="1"/>
    <col min="2066" max="2066" width="21.1640625" style="2" customWidth="1"/>
    <col min="2067" max="2067" width="6.6640625" style="2" customWidth="1"/>
    <col min="2068" max="2068" width="9.1640625" style="2" bestFit="1" customWidth="1"/>
    <col min="2069" max="2069" width="3.6640625" style="2" customWidth="1"/>
    <col min="2070" max="2070" width="13.5" style="2" customWidth="1"/>
    <col min="2071" max="2071" width="13.83203125" style="2" customWidth="1"/>
    <col min="2072" max="2072" width="12.6640625" style="2" customWidth="1"/>
    <col min="2073" max="2308" width="9" style="2"/>
    <col min="2309" max="2309" width="9.33203125" style="2" bestFit="1" customWidth="1"/>
    <col min="2310" max="2310" width="11.83203125" style="2" customWidth="1"/>
    <col min="2311" max="2311" width="9.33203125" style="2" bestFit="1" customWidth="1"/>
    <col min="2312" max="2319" width="10.6640625" style="2" customWidth="1"/>
    <col min="2320" max="2320" width="0" style="2" hidden="1" customWidth="1"/>
    <col min="2321" max="2321" width="2" style="2" customWidth="1"/>
    <col min="2322" max="2322" width="21.1640625" style="2" customWidth="1"/>
    <col min="2323" max="2323" width="6.6640625" style="2" customWidth="1"/>
    <col min="2324" max="2324" width="9.1640625" style="2" bestFit="1" customWidth="1"/>
    <col min="2325" max="2325" width="3.6640625" style="2" customWidth="1"/>
    <col min="2326" max="2326" width="13.5" style="2" customWidth="1"/>
    <col min="2327" max="2327" width="13.83203125" style="2" customWidth="1"/>
    <col min="2328" max="2328" width="12.6640625" style="2" customWidth="1"/>
    <col min="2329" max="2564" width="9" style="2"/>
    <col min="2565" max="2565" width="9.33203125" style="2" bestFit="1" customWidth="1"/>
    <col min="2566" max="2566" width="11.83203125" style="2" customWidth="1"/>
    <col min="2567" max="2567" width="9.33203125" style="2" bestFit="1" customWidth="1"/>
    <col min="2568" max="2575" width="10.6640625" style="2" customWidth="1"/>
    <col min="2576" max="2576" width="0" style="2" hidden="1" customWidth="1"/>
    <col min="2577" max="2577" width="2" style="2" customWidth="1"/>
    <col min="2578" max="2578" width="21.1640625" style="2" customWidth="1"/>
    <col min="2579" max="2579" width="6.6640625" style="2" customWidth="1"/>
    <col min="2580" max="2580" width="9.1640625" style="2" bestFit="1" customWidth="1"/>
    <col min="2581" max="2581" width="3.6640625" style="2" customWidth="1"/>
    <col min="2582" max="2582" width="13.5" style="2" customWidth="1"/>
    <col min="2583" max="2583" width="13.83203125" style="2" customWidth="1"/>
    <col min="2584" max="2584" width="12.6640625" style="2" customWidth="1"/>
    <col min="2585" max="2820" width="9" style="2"/>
    <col min="2821" max="2821" width="9.33203125" style="2" bestFit="1" customWidth="1"/>
    <col min="2822" max="2822" width="11.83203125" style="2" customWidth="1"/>
    <col min="2823" max="2823" width="9.33203125" style="2" bestFit="1" customWidth="1"/>
    <col min="2824" max="2831" width="10.6640625" style="2" customWidth="1"/>
    <col min="2832" max="2832" width="0" style="2" hidden="1" customWidth="1"/>
    <col min="2833" max="2833" width="2" style="2" customWidth="1"/>
    <col min="2834" max="2834" width="21.1640625" style="2" customWidth="1"/>
    <col min="2835" max="2835" width="6.6640625" style="2" customWidth="1"/>
    <col min="2836" max="2836" width="9.1640625" style="2" bestFit="1" customWidth="1"/>
    <col min="2837" max="2837" width="3.6640625" style="2" customWidth="1"/>
    <col min="2838" max="2838" width="13.5" style="2" customWidth="1"/>
    <col min="2839" max="2839" width="13.83203125" style="2" customWidth="1"/>
    <col min="2840" max="2840" width="12.6640625" style="2" customWidth="1"/>
    <col min="2841" max="3076" width="9" style="2"/>
    <col min="3077" max="3077" width="9.33203125" style="2" bestFit="1" customWidth="1"/>
    <col min="3078" max="3078" width="11.83203125" style="2" customWidth="1"/>
    <col min="3079" max="3079" width="9.33203125" style="2" bestFit="1" customWidth="1"/>
    <col min="3080" max="3087" width="10.6640625" style="2" customWidth="1"/>
    <col min="3088" max="3088" width="0" style="2" hidden="1" customWidth="1"/>
    <col min="3089" max="3089" width="2" style="2" customWidth="1"/>
    <col min="3090" max="3090" width="21.1640625" style="2" customWidth="1"/>
    <col min="3091" max="3091" width="6.6640625" style="2" customWidth="1"/>
    <col min="3092" max="3092" width="9.1640625" style="2" bestFit="1" customWidth="1"/>
    <col min="3093" max="3093" width="3.6640625" style="2" customWidth="1"/>
    <col min="3094" max="3094" width="13.5" style="2" customWidth="1"/>
    <col min="3095" max="3095" width="13.83203125" style="2" customWidth="1"/>
    <col min="3096" max="3096" width="12.6640625" style="2" customWidth="1"/>
    <col min="3097" max="3332" width="9" style="2"/>
    <col min="3333" max="3333" width="9.33203125" style="2" bestFit="1" customWidth="1"/>
    <col min="3334" max="3334" width="11.83203125" style="2" customWidth="1"/>
    <col min="3335" max="3335" width="9.33203125" style="2" bestFit="1" customWidth="1"/>
    <col min="3336" max="3343" width="10.6640625" style="2" customWidth="1"/>
    <col min="3344" max="3344" width="0" style="2" hidden="1" customWidth="1"/>
    <col min="3345" max="3345" width="2" style="2" customWidth="1"/>
    <col min="3346" max="3346" width="21.1640625" style="2" customWidth="1"/>
    <col min="3347" max="3347" width="6.6640625" style="2" customWidth="1"/>
    <col min="3348" max="3348" width="9.1640625" style="2" bestFit="1" customWidth="1"/>
    <col min="3349" max="3349" width="3.6640625" style="2" customWidth="1"/>
    <col min="3350" max="3350" width="13.5" style="2" customWidth="1"/>
    <col min="3351" max="3351" width="13.83203125" style="2" customWidth="1"/>
    <col min="3352" max="3352" width="12.6640625" style="2" customWidth="1"/>
    <col min="3353" max="3588" width="9" style="2"/>
    <col min="3589" max="3589" width="9.33203125" style="2" bestFit="1" customWidth="1"/>
    <col min="3590" max="3590" width="11.83203125" style="2" customWidth="1"/>
    <col min="3591" max="3591" width="9.33203125" style="2" bestFit="1" customWidth="1"/>
    <col min="3592" max="3599" width="10.6640625" style="2" customWidth="1"/>
    <col min="3600" max="3600" width="0" style="2" hidden="1" customWidth="1"/>
    <col min="3601" max="3601" width="2" style="2" customWidth="1"/>
    <col min="3602" max="3602" width="21.1640625" style="2" customWidth="1"/>
    <col min="3603" max="3603" width="6.6640625" style="2" customWidth="1"/>
    <col min="3604" max="3604" width="9.1640625" style="2" bestFit="1" customWidth="1"/>
    <col min="3605" max="3605" width="3.6640625" style="2" customWidth="1"/>
    <col min="3606" max="3606" width="13.5" style="2" customWidth="1"/>
    <col min="3607" max="3607" width="13.83203125" style="2" customWidth="1"/>
    <col min="3608" max="3608" width="12.6640625" style="2" customWidth="1"/>
    <col min="3609" max="3844" width="9" style="2"/>
    <col min="3845" max="3845" width="9.33203125" style="2" bestFit="1" customWidth="1"/>
    <col min="3846" max="3846" width="11.83203125" style="2" customWidth="1"/>
    <col min="3847" max="3847" width="9.33203125" style="2" bestFit="1" customWidth="1"/>
    <col min="3848" max="3855" width="10.6640625" style="2" customWidth="1"/>
    <col min="3856" max="3856" width="0" style="2" hidden="1" customWidth="1"/>
    <col min="3857" max="3857" width="2" style="2" customWidth="1"/>
    <col min="3858" max="3858" width="21.1640625" style="2" customWidth="1"/>
    <col min="3859" max="3859" width="6.6640625" style="2" customWidth="1"/>
    <col min="3860" max="3860" width="9.1640625" style="2" bestFit="1" customWidth="1"/>
    <col min="3861" max="3861" width="3.6640625" style="2" customWidth="1"/>
    <col min="3862" max="3862" width="13.5" style="2" customWidth="1"/>
    <col min="3863" max="3863" width="13.83203125" style="2" customWidth="1"/>
    <col min="3864" max="3864" width="12.6640625" style="2" customWidth="1"/>
    <col min="3865" max="4100" width="9" style="2"/>
    <col min="4101" max="4101" width="9.33203125" style="2" bestFit="1" customWidth="1"/>
    <col min="4102" max="4102" width="11.83203125" style="2" customWidth="1"/>
    <col min="4103" max="4103" width="9.33203125" style="2" bestFit="1" customWidth="1"/>
    <col min="4104" max="4111" width="10.6640625" style="2" customWidth="1"/>
    <col min="4112" max="4112" width="0" style="2" hidden="1" customWidth="1"/>
    <col min="4113" max="4113" width="2" style="2" customWidth="1"/>
    <col min="4114" max="4114" width="21.1640625" style="2" customWidth="1"/>
    <col min="4115" max="4115" width="6.6640625" style="2" customWidth="1"/>
    <col min="4116" max="4116" width="9.1640625" style="2" bestFit="1" customWidth="1"/>
    <col min="4117" max="4117" width="3.6640625" style="2" customWidth="1"/>
    <col min="4118" max="4118" width="13.5" style="2" customWidth="1"/>
    <col min="4119" max="4119" width="13.83203125" style="2" customWidth="1"/>
    <col min="4120" max="4120" width="12.6640625" style="2" customWidth="1"/>
    <col min="4121" max="4356" width="9" style="2"/>
    <col min="4357" max="4357" width="9.33203125" style="2" bestFit="1" customWidth="1"/>
    <col min="4358" max="4358" width="11.83203125" style="2" customWidth="1"/>
    <col min="4359" max="4359" width="9.33203125" style="2" bestFit="1" customWidth="1"/>
    <col min="4360" max="4367" width="10.6640625" style="2" customWidth="1"/>
    <col min="4368" max="4368" width="0" style="2" hidden="1" customWidth="1"/>
    <col min="4369" max="4369" width="2" style="2" customWidth="1"/>
    <col min="4370" max="4370" width="21.1640625" style="2" customWidth="1"/>
    <col min="4371" max="4371" width="6.6640625" style="2" customWidth="1"/>
    <col min="4372" max="4372" width="9.1640625" style="2" bestFit="1" customWidth="1"/>
    <col min="4373" max="4373" width="3.6640625" style="2" customWidth="1"/>
    <col min="4374" max="4374" width="13.5" style="2" customWidth="1"/>
    <col min="4375" max="4375" width="13.83203125" style="2" customWidth="1"/>
    <col min="4376" max="4376" width="12.6640625" style="2" customWidth="1"/>
    <col min="4377" max="4612" width="9" style="2"/>
    <col min="4613" max="4613" width="9.33203125" style="2" bestFit="1" customWidth="1"/>
    <col min="4614" max="4614" width="11.83203125" style="2" customWidth="1"/>
    <col min="4615" max="4615" width="9.33203125" style="2" bestFit="1" customWidth="1"/>
    <col min="4616" max="4623" width="10.6640625" style="2" customWidth="1"/>
    <col min="4624" max="4624" width="0" style="2" hidden="1" customWidth="1"/>
    <col min="4625" max="4625" width="2" style="2" customWidth="1"/>
    <col min="4626" max="4626" width="21.1640625" style="2" customWidth="1"/>
    <col min="4627" max="4627" width="6.6640625" style="2" customWidth="1"/>
    <col min="4628" max="4628" width="9.1640625" style="2" bestFit="1" customWidth="1"/>
    <col min="4629" max="4629" width="3.6640625" style="2" customWidth="1"/>
    <col min="4630" max="4630" width="13.5" style="2" customWidth="1"/>
    <col min="4631" max="4631" width="13.83203125" style="2" customWidth="1"/>
    <col min="4632" max="4632" width="12.6640625" style="2" customWidth="1"/>
    <col min="4633" max="4868" width="9" style="2"/>
    <col min="4869" max="4869" width="9.33203125" style="2" bestFit="1" customWidth="1"/>
    <col min="4870" max="4870" width="11.83203125" style="2" customWidth="1"/>
    <col min="4871" max="4871" width="9.33203125" style="2" bestFit="1" customWidth="1"/>
    <col min="4872" max="4879" width="10.6640625" style="2" customWidth="1"/>
    <col min="4880" max="4880" width="0" style="2" hidden="1" customWidth="1"/>
    <col min="4881" max="4881" width="2" style="2" customWidth="1"/>
    <col min="4882" max="4882" width="21.1640625" style="2" customWidth="1"/>
    <col min="4883" max="4883" width="6.6640625" style="2" customWidth="1"/>
    <col min="4884" max="4884" width="9.1640625" style="2" bestFit="1" customWidth="1"/>
    <col min="4885" max="4885" width="3.6640625" style="2" customWidth="1"/>
    <col min="4886" max="4886" width="13.5" style="2" customWidth="1"/>
    <col min="4887" max="4887" width="13.83203125" style="2" customWidth="1"/>
    <col min="4888" max="4888" width="12.6640625" style="2" customWidth="1"/>
    <col min="4889" max="5124" width="9" style="2"/>
    <col min="5125" max="5125" width="9.33203125" style="2" bestFit="1" customWidth="1"/>
    <col min="5126" max="5126" width="11.83203125" style="2" customWidth="1"/>
    <col min="5127" max="5127" width="9.33203125" style="2" bestFit="1" customWidth="1"/>
    <col min="5128" max="5135" width="10.6640625" style="2" customWidth="1"/>
    <col min="5136" max="5136" width="0" style="2" hidden="1" customWidth="1"/>
    <col min="5137" max="5137" width="2" style="2" customWidth="1"/>
    <col min="5138" max="5138" width="21.1640625" style="2" customWidth="1"/>
    <col min="5139" max="5139" width="6.6640625" style="2" customWidth="1"/>
    <col min="5140" max="5140" width="9.1640625" style="2" bestFit="1" customWidth="1"/>
    <col min="5141" max="5141" width="3.6640625" style="2" customWidth="1"/>
    <col min="5142" max="5142" width="13.5" style="2" customWidth="1"/>
    <col min="5143" max="5143" width="13.83203125" style="2" customWidth="1"/>
    <col min="5144" max="5144" width="12.6640625" style="2" customWidth="1"/>
    <col min="5145" max="5380" width="9" style="2"/>
    <col min="5381" max="5381" width="9.33203125" style="2" bestFit="1" customWidth="1"/>
    <col min="5382" max="5382" width="11.83203125" style="2" customWidth="1"/>
    <col min="5383" max="5383" width="9.33203125" style="2" bestFit="1" customWidth="1"/>
    <col min="5384" max="5391" width="10.6640625" style="2" customWidth="1"/>
    <col min="5392" max="5392" width="0" style="2" hidden="1" customWidth="1"/>
    <col min="5393" max="5393" width="2" style="2" customWidth="1"/>
    <col min="5394" max="5394" width="21.1640625" style="2" customWidth="1"/>
    <col min="5395" max="5395" width="6.6640625" style="2" customWidth="1"/>
    <col min="5396" max="5396" width="9.1640625" style="2" bestFit="1" customWidth="1"/>
    <col min="5397" max="5397" width="3.6640625" style="2" customWidth="1"/>
    <col min="5398" max="5398" width="13.5" style="2" customWidth="1"/>
    <col min="5399" max="5399" width="13.83203125" style="2" customWidth="1"/>
    <col min="5400" max="5400" width="12.6640625" style="2" customWidth="1"/>
    <col min="5401" max="5636" width="9" style="2"/>
    <col min="5637" max="5637" width="9.33203125" style="2" bestFit="1" customWidth="1"/>
    <col min="5638" max="5638" width="11.83203125" style="2" customWidth="1"/>
    <col min="5639" max="5639" width="9.33203125" style="2" bestFit="1" customWidth="1"/>
    <col min="5640" max="5647" width="10.6640625" style="2" customWidth="1"/>
    <col min="5648" max="5648" width="0" style="2" hidden="1" customWidth="1"/>
    <col min="5649" max="5649" width="2" style="2" customWidth="1"/>
    <col min="5650" max="5650" width="21.1640625" style="2" customWidth="1"/>
    <col min="5651" max="5651" width="6.6640625" style="2" customWidth="1"/>
    <col min="5652" max="5652" width="9.1640625" style="2" bestFit="1" customWidth="1"/>
    <col min="5653" max="5653" width="3.6640625" style="2" customWidth="1"/>
    <col min="5654" max="5654" width="13.5" style="2" customWidth="1"/>
    <col min="5655" max="5655" width="13.83203125" style="2" customWidth="1"/>
    <col min="5656" max="5656" width="12.6640625" style="2" customWidth="1"/>
    <col min="5657" max="5892" width="9" style="2"/>
    <col min="5893" max="5893" width="9.33203125" style="2" bestFit="1" customWidth="1"/>
    <col min="5894" max="5894" width="11.83203125" style="2" customWidth="1"/>
    <col min="5895" max="5895" width="9.33203125" style="2" bestFit="1" customWidth="1"/>
    <col min="5896" max="5903" width="10.6640625" style="2" customWidth="1"/>
    <col min="5904" max="5904" width="0" style="2" hidden="1" customWidth="1"/>
    <col min="5905" max="5905" width="2" style="2" customWidth="1"/>
    <col min="5906" max="5906" width="21.1640625" style="2" customWidth="1"/>
    <col min="5907" max="5907" width="6.6640625" style="2" customWidth="1"/>
    <col min="5908" max="5908" width="9.1640625" style="2" bestFit="1" customWidth="1"/>
    <col min="5909" max="5909" width="3.6640625" style="2" customWidth="1"/>
    <col min="5910" max="5910" width="13.5" style="2" customWidth="1"/>
    <col min="5911" max="5911" width="13.83203125" style="2" customWidth="1"/>
    <col min="5912" max="5912" width="12.6640625" style="2" customWidth="1"/>
    <col min="5913" max="6148" width="9" style="2"/>
    <col min="6149" max="6149" width="9.33203125" style="2" bestFit="1" customWidth="1"/>
    <col min="6150" max="6150" width="11.83203125" style="2" customWidth="1"/>
    <col min="6151" max="6151" width="9.33203125" style="2" bestFit="1" customWidth="1"/>
    <col min="6152" max="6159" width="10.6640625" style="2" customWidth="1"/>
    <col min="6160" max="6160" width="0" style="2" hidden="1" customWidth="1"/>
    <col min="6161" max="6161" width="2" style="2" customWidth="1"/>
    <col min="6162" max="6162" width="21.1640625" style="2" customWidth="1"/>
    <col min="6163" max="6163" width="6.6640625" style="2" customWidth="1"/>
    <col min="6164" max="6164" width="9.1640625" style="2" bestFit="1" customWidth="1"/>
    <col min="6165" max="6165" width="3.6640625" style="2" customWidth="1"/>
    <col min="6166" max="6166" width="13.5" style="2" customWidth="1"/>
    <col min="6167" max="6167" width="13.83203125" style="2" customWidth="1"/>
    <col min="6168" max="6168" width="12.6640625" style="2" customWidth="1"/>
    <col min="6169" max="6404" width="9" style="2"/>
    <col min="6405" max="6405" width="9.33203125" style="2" bestFit="1" customWidth="1"/>
    <col min="6406" max="6406" width="11.83203125" style="2" customWidth="1"/>
    <col min="6407" max="6407" width="9.33203125" style="2" bestFit="1" customWidth="1"/>
    <col min="6408" max="6415" width="10.6640625" style="2" customWidth="1"/>
    <col min="6416" max="6416" width="0" style="2" hidden="1" customWidth="1"/>
    <col min="6417" max="6417" width="2" style="2" customWidth="1"/>
    <col min="6418" max="6418" width="21.1640625" style="2" customWidth="1"/>
    <col min="6419" max="6419" width="6.6640625" style="2" customWidth="1"/>
    <col min="6420" max="6420" width="9.1640625" style="2" bestFit="1" customWidth="1"/>
    <col min="6421" max="6421" width="3.6640625" style="2" customWidth="1"/>
    <col min="6422" max="6422" width="13.5" style="2" customWidth="1"/>
    <col min="6423" max="6423" width="13.83203125" style="2" customWidth="1"/>
    <col min="6424" max="6424" width="12.6640625" style="2" customWidth="1"/>
    <col min="6425" max="6660" width="9" style="2"/>
    <col min="6661" max="6661" width="9.33203125" style="2" bestFit="1" customWidth="1"/>
    <col min="6662" max="6662" width="11.83203125" style="2" customWidth="1"/>
    <col min="6663" max="6663" width="9.33203125" style="2" bestFit="1" customWidth="1"/>
    <col min="6664" max="6671" width="10.6640625" style="2" customWidth="1"/>
    <col min="6672" max="6672" width="0" style="2" hidden="1" customWidth="1"/>
    <col min="6673" max="6673" width="2" style="2" customWidth="1"/>
    <col min="6674" max="6674" width="21.1640625" style="2" customWidth="1"/>
    <col min="6675" max="6675" width="6.6640625" style="2" customWidth="1"/>
    <col min="6676" max="6676" width="9.1640625" style="2" bestFit="1" customWidth="1"/>
    <col min="6677" max="6677" width="3.6640625" style="2" customWidth="1"/>
    <col min="6678" max="6678" width="13.5" style="2" customWidth="1"/>
    <col min="6679" max="6679" width="13.83203125" style="2" customWidth="1"/>
    <col min="6680" max="6680" width="12.6640625" style="2" customWidth="1"/>
    <col min="6681" max="6916" width="9" style="2"/>
    <col min="6917" max="6917" width="9.33203125" style="2" bestFit="1" customWidth="1"/>
    <col min="6918" max="6918" width="11.83203125" style="2" customWidth="1"/>
    <col min="6919" max="6919" width="9.33203125" style="2" bestFit="1" customWidth="1"/>
    <col min="6920" max="6927" width="10.6640625" style="2" customWidth="1"/>
    <col min="6928" max="6928" width="0" style="2" hidden="1" customWidth="1"/>
    <col min="6929" max="6929" width="2" style="2" customWidth="1"/>
    <col min="6930" max="6930" width="21.1640625" style="2" customWidth="1"/>
    <col min="6931" max="6931" width="6.6640625" style="2" customWidth="1"/>
    <col min="6932" max="6932" width="9.1640625" style="2" bestFit="1" customWidth="1"/>
    <col min="6933" max="6933" width="3.6640625" style="2" customWidth="1"/>
    <col min="6934" max="6934" width="13.5" style="2" customWidth="1"/>
    <col min="6935" max="6935" width="13.83203125" style="2" customWidth="1"/>
    <col min="6936" max="6936" width="12.6640625" style="2" customWidth="1"/>
    <col min="6937" max="7172" width="9" style="2"/>
    <col min="7173" max="7173" width="9.33203125" style="2" bestFit="1" customWidth="1"/>
    <col min="7174" max="7174" width="11.83203125" style="2" customWidth="1"/>
    <col min="7175" max="7175" width="9.33203125" style="2" bestFit="1" customWidth="1"/>
    <col min="7176" max="7183" width="10.6640625" style="2" customWidth="1"/>
    <col min="7184" max="7184" width="0" style="2" hidden="1" customWidth="1"/>
    <col min="7185" max="7185" width="2" style="2" customWidth="1"/>
    <col min="7186" max="7186" width="21.1640625" style="2" customWidth="1"/>
    <col min="7187" max="7187" width="6.6640625" style="2" customWidth="1"/>
    <col min="7188" max="7188" width="9.1640625" style="2" bestFit="1" customWidth="1"/>
    <col min="7189" max="7189" width="3.6640625" style="2" customWidth="1"/>
    <col min="7190" max="7190" width="13.5" style="2" customWidth="1"/>
    <col min="7191" max="7191" width="13.83203125" style="2" customWidth="1"/>
    <col min="7192" max="7192" width="12.6640625" style="2" customWidth="1"/>
    <col min="7193" max="7428" width="9" style="2"/>
    <col min="7429" max="7429" width="9.33203125" style="2" bestFit="1" customWidth="1"/>
    <col min="7430" max="7430" width="11.83203125" style="2" customWidth="1"/>
    <col min="7431" max="7431" width="9.33203125" style="2" bestFit="1" customWidth="1"/>
    <col min="7432" max="7439" width="10.6640625" style="2" customWidth="1"/>
    <col min="7440" max="7440" width="0" style="2" hidden="1" customWidth="1"/>
    <col min="7441" max="7441" width="2" style="2" customWidth="1"/>
    <col min="7442" max="7442" width="21.1640625" style="2" customWidth="1"/>
    <col min="7443" max="7443" width="6.6640625" style="2" customWidth="1"/>
    <col min="7444" max="7444" width="9.1640625" style="2" bestFit="1" customWidth="1"/>
    <col min="7445" max="7445" width="3.6640625" style="2" customWidth="1"/>
    <col min="7446" max="7446" width="13.5" style="2" customWidth="1"/>
    <col min="7447" max="7447" width="13.83203125" style="2" customWidth="1"/>
    <col min="7448" max="7448" width="12.6640625" style="2" customWidth="1"/>
    <col min="7449" max="7684" width="9" style="2"/>
    <col min="7685" max="7685" width="9.33203125" style="2" bestFit="1" customWidth="1"/>
    <col min="7686" max="7686" width="11.83203125" style="2" customWidth="1"/>
    <col min="7687" max="7687" width="9.33203125" style="2" bestFit="1" customWidth="1"/>
    <col min="7688" max="7695" width="10.6640625" style="2" customWidth="1"/>
    <col min="7696" max="7696" width="0" style="2" hidden="1" customWidth="1"/>
    <col min="7697" max="7697" width="2" style="2" customWidth="1"/>
    <col min="7698" max="7698" width="21.1640625" style="2" customWidth="1"/>
    <col min="7699" max="7699" width="6.6640625" style="2" customWidth="1"/>
    <col min="7700" max="7700" width="9.1640625" style="2" bestFit="1" customWidth="1"/>
    <col min="7701" max="7701" width="3.6640625" style="2" customWidth="1"/>
    <col min="7702" max="7702" width="13.5" style="2" customWidth="1"/>
    <col min="7703" max="7703" width="13.83203125" style="2" customWidth="1"/>
    <col min="7704" max="7704" width="12.6640625" style="2" customWidth="1"/>
    <col min="7705" max="7940" width="9" style="2"/>
    <col min="7941" max="7941" width="9.33203125" style="2" bestFit="1" customWidth="1"/>
    <col min="7942" max="7942" width="11.83203125" style="2" customWidth="1"/>
    <col min="7943" max="7943" width="9.33203125" style="2" bestFit="1" customWidth="1"/>
    <col min="7944" max="7951" width="10.6640625" style="2" customWidth="1"/>
    <col min="7952" max="7952" width="0" style="2" hidden="1" customWidth="1"/>
    <col min="7953" max="7953" width="2" style="2" customWidth="1"/>
    <col min="7954" max="7954" width="21.1640625" style="2" customWidth="1"/>
    <col min="7955" max="7955" width="6.6640625" style="2" customWidth="1"/>
    <col min="7956" max="7956" width="9.1640625" style="2" bestFit="1" customWidth="1"/>
    <col min="7957" max="7957" width="3.6640625" style="2" customWidth="1"/>
    <col min="7958" max="7958" width="13.5" style="2" customWidth="1"/>
    <col min="7959" max="7959" width="13.83203125" style="2" customWidth="1"/>
    <col min="7960" max="7960" width="12.6640625" style="2" customWidth="1"/>
    <col min="7961" max="8196" width="9" style="2"/>
    <col min="8197" max="8197" width="9.33203125" style="2" bestFit="1" customWidth="1"/>
    <col min="8198" max="8198" width="11.83203125" style="2" customWidth="1"/>
    <col min="8199" max="8199" width="9.33203125" style="2" bestFit="1" customWidth="1"/>
    <col min="8200" max="8207" width="10.6640625" style="2" customWidth="1"/>
    <col min="8208" max="8208" width="0" style="2" hidden="1" customWidth="1"/>
    <col min="8209" max="8209" width="2" style="2" customWidth="1"/>
    <col min="8210" max="8210" width="21.1640625" style="2" customWidth="1"/>
    <col min="8211" max="8211" width="6.6640625" style="2" customWidth="1"/>
    <col min="8212" max="8212" width="9.1640625" style="2" bestFit="1" customWidth="1"/>
    <col min="8213" max="8213" width="3.6640625" style="2" customWidth="1"/>
    <col min="8214" max="8214" width="13.5" style="2" customWidth="1"/>
    <col min="8215" max="8215" width="13.83203125" style="2" customWidth="1"/>
    <col min="8216" max="8216" width="12.6640625" style="2" customWidth="1"/>
    <col min="8217" max="8452" width="9" style="2"/>
    <col min="8453" max="8453" width="9.33203125" style="2" bestFit="1" customWidth="1"/>
    <col min="8454" max="8454" width="11.83203125" style="2" customWidth="1"/>
    <col min="8455" max="8455" width="9.33203125" style="2" bestFit="1" customWidth="1"/>
    <col min="8456" max="8463" width="10.6640625" style="2" customWidth="1"/>
    <col min="8464" max="8464" width="0" style="2" hidden="1" customWidth="1"/>
    <col min="8465" max="8465" width="2" style="2" customWidth="1"/>
    <col min="8466" max="8466" width="21.1640625" style="2" customWidth="1"/>
    <col min="8467" max="8467" width="6.6640625" style="2" customWidth="1"/>
    <col min="8468" max="8468" width="9.1640625" style="2" bestFit="1" customWidth="1"/>
    <col min="8469" max="8469" width="3.6640625" style="2" customWidth="1"/>
    <col min="8470" max="8470" width="13.5" style="2" customWidth="1"/>
    <col min="8471" max="8471" width="13.83203125" style="2" customWidth="1"/>
    <col min="8472" max="8472" width="12.6640625" style="2" customWidth="1"/>
    <col min="8473" max="8708" width="9" style="2"/>
    <col min="8709" max="8709" width="9.33203125" style="2" bestFit="1" customWidth="1"/>
    <col min="8710" max="8710" width="11.83203125" style="2" customWidth="1"/>
    <col min="8711" max="8711" width="9.33203125" style="2" bestFit="1" customWidth="1"/>
    <col min="8712" max="8719" width="10.6640625" style="2" customWidth="1"/>
    <col min="8720" max="8720" width="0" style="2" hidden="1" customWidth="1"/>
    <col min="8721" max="8721" width="2" style="2" customWidth="1"/>
    <col min="8722" max="8722" width="21.1640625" style="2" customWidth="1"/>
    <col min="8723" max="8723" width="6.6640625" style="2" customWidth="1"/>
    <col min="8724" max="8724" width="9.1640625" style="2" bestFit="1" customWidth="1"/>
    <col min="8725" max="8725" width="3.6640625" style="2" customWidth="1"/>
    <col min="8726" max="8726" width="13.5" style="2" customWidth="1"/>
    <col min="8727" max="8727" width="13.83203125" style="2" customWidth="1"/>
    <col min="8728" max="8728" width="12.6640625" style="2" customWidth="1"/>
    <col min="8729" max="8964" width="9" style="2"/>
    <col min="8965" max="8965" width="9.33203125" style="2" bestFit="1" customWidth="1"/>
    <col min="8966" max="8966" width="11.83203125" style="2" customWidth="1"/>
    <col min="8967" max="8967" width="9.33203125" style="2" bestFit="1" customWidth="1"/>
    <col min="8968" max="8975" width="10.6640625" style="2" customWidth="1"/>
    <col min="8976" max="8976" width="0" style="2" hidden="1" customWidth="1"/>
    <col min="8977" max="8977" width="2" style="2" customWidth="1"/>
    <col min="8978" max="8978" width="21.1640625" style="2" customWidth="1"/>
    <col min="8979" max="8979" width="6.6640625" style="2" customWidth="1"/>
    <col min="8980" max="8980" width="9.1640625" style="2" bestFit="1" customWidth="1"/>
    <col min="8981" max="8981" width="3.6640625" style="2" customWidth="1"/>
    <col min="8982" max="8982" width="13.5" style="2" customWidth="1"/>
    <col min="8983" max="8983" width="13.83203125" style="2" customWidth="1"/>
    <col min="8984" max="8984" width="12.6640625" style="2" customWidth="1"/>
    <col min="8985" max="9220" width="9" style="2"/>
    <col min="9221" max="9221" width="9.33203125" style="2" bestFit="1" customWidth="1"/>
    <col min="9222" max="9222" width="11.83203125" style="2" customWidth="1"/>
    <col min="9223" max="9223" width="9.33203125" style="2" bestFit="1" customWidth="1"/>
    <col min="9224" max="9231" width="10.6640625" style="2" customWidth="1"/>
    <col min="9232" max="9232" width="0" style="2" hidden="1" customWidth="1"/>
    <col min="9233" max="9233" width="2" style="2" customWidth="1"/>
    <col min="9234" max="9234" width="21.1640625" style="2" customWidth="1"/>
    <col min="9235" max="9235" width="6.6640625" style="2" customWidth="1"/>
    <col min="9236" max="9236" width="9.1640625" style="2" bestFit="1" customWidth="1"/>
    <col min="9237" max="9237" width="3.6640625" style="2" customWidth="1"/>
    <col min="9238" max="9238" width="13.5" style="2" customWidth="1"/>
    <col min="9239" max="9239" width="13.83203125" style="2" customWidth="1"/>
    <col min="9240" max="9240" width="12.6640625" style="2" customWidth="1"/>
    <col min="9241" max="9476" width="9" style="2"/>
    <col min="9477" max="9477" width="9.33203125" style="2" bestFit="1" customWidth="1"/>
    <col min="9478" max="9478" width="11.83203125" style="2" customWidth="1"/>
    <col min="9479" max="9479" width="9.33203125" style="2" bestFit="1" customWidth="1"/>
    <col min="9480" max="9487" width="10.6640625" style="2" customWidth="1"/>
    <col min="9488" max="9488" width="0" style="2" hidden="1" customWidth="1"/>
    <col min="9489" max="9489" width="2" style="2" customWidth="1"/>
    <col min="9490" max="9490" width="21.1640625" style="2" customWidth="1"/>
    <col min="9491" max="9491" width="6.6640625" style="2" customWidth="1"/>
    <col min="9492" max="9492" width="9.1640625" style="2" bestFit="1" customWidth="1"/>
    <col min="9493" max="9493" width="3.6640625" style="2" customWidth="1"/>
    <col min="9494" max="9494" width="13.5" style="2" customWidth="1"/>
    <col min="9495" max="9495" width="13.83203125" style="2" customWidth="1"/>
    <col min="9496" max="9496" width="12.6640625" style="2" customWidth="1"/>
    <col min="9497" max="9732" width="9" style="2"/>
    <col min="9733" max="9733" width="9.33203125" style="2" bestFit="1" customWidth="1"/>
    <col min="9734" max="9734" width="11.83203125" style="2" customWidth="1"/>
    <col min="9735" max="9735" width="9.33203125" style="2" bestFit="1" customWidth="1"/>
    <col min="9736" max="9743" width="10.6640625" style="2" customWidth="1"/>
    <col min="9744" max="9744" width="0" style="2" hidden="1" customWidth="1"/>
    <col min="9745" max="9745" width="2" style="2" customWidth="1"/>
    <col min="9746" max="9746" width="21.1640625" style="2" customWidth="1"/>
    <col min="9747" max="9747" width="6.6640625" style="2" customWidth="1"/>
    <col min="9748" max="9748" width="9.1640625" style="2" bestFit="1" customWidth="1"/>
    <col min="9749" max="9749" width="3.6640625" style="2" customWidth="1"/>
    <col min="9750" max="9750" width="13.5" style="2" customWidth="1"/>
    <col min="9751" max="9751" width="13.83203125" style="2" customWidth="1"/>
    <col min="9752" max="9752" width="12.6640625" style="2" customWidth="1"/>
    <col min="9753" max="9988" width="9" style="2"/>
    <col min="9989" max="9989" width="9.33203125" style="2" bestFit="1" customWidth="1"/>
    <col min="9990" max="9990" width="11.83203125" style="2" customWidth="1"/>
    <col min="9991" max="9991" width="9.33203125" style="2" bestFit="1" customWidth="1"/>
    <col min="9992" max="9999" width="10.6640625" style="2" customWidth="1"/>
    <col min="10000" max="10000" width="0" style="2" hidden="1" customWidth="1"/>
    <col min="10001" max="10001" width="2" style="2" customWidth="1"/>
    <col min="10002" max="10002" width="21.1640625" style="2" customWidth="1"/>
    <col min="10003" max="10003" width="6.6640625" style="2" customWidth="1"/>
    <col min="10004" max="10004" width="9.1640625" style="2" bestFit="1" customWidth="1"/>
    <col min="10005" max="10005" width="3.6640625" style="2" customWidth="1"/>
    <col min="10006" max="10006" width="13.5" style="2" customWidth="1"/>
    <col min="10007" max="10007" width="13.83203125" style="2" customWidth="1"/>
    <col min="10008" max="10008" width="12.6640625" style="2" customWidth="1"/>
    <col min="10009" max="10244" width="9" style="2"/>
    <col min="10245" max="10245" width="9.33203125" style="2" bestFit="1" customWidth="1"/>
    <col min="10246" max="10246" width="11.83203125" style="2" customWidth="1"/>
    <col min="10247" max="10247" width="9.33203125" style="2" bestFit="1" customWidth="1"/>
    <col min="10248" max="10255" width="10.6640625" style="2" customWidth="1"/>
    <col min="10256" max="10256" width="0" style="2" hidden="1" customWidth="1"/>
    <col min="10257" max="10257" width="2" style="2" customWidth="1"/>
    <col min="10258" max="10258" width="21.1640625" style="2" customWidth="1"/>
    <col min="10259" max="10259" width="6.6640625" style="2" customWidth="1"/>
    <col min="10260" max="10260" width="9.1640625" style="2" bestFit="1" customWidth="1"/>
    <col min="10261" max="10261" width="3.6640625" style="2" customWidth="1"/>
    <col min="10262" max="10262" width="13.5" style="2" customWidth="1"/>
    <col min="10263" max="10263" width="13.83203125" style="2" customWidth="1"/>
    <col min="10264" max="10264" width="12.6640625" style="2" customWidth="1"/>
    <col min="10265" max="10500" width="9" style="2"/>
    <col min="10501" max="10501" width="9.33203125" style="2" bestFit="1" customWidth="1"/>
    <col min="10502" max="10502" width="11.83203125" style="2" customWidth="1"/>
    <col min="10503" max="10503" width="9.33203125" style="2" bestFit="1" customWidth="1"/>
    <col min="10504" max="10511" width="10.6640625" style="2" customWidth="1"/>
    <col min="10512" max="10512" width="0" style="2" hidden="1" customWidth="1"/>
    <col min="10513" max="10513" width="2" style="2" customWidth="1"/>
    <col min="10514" max="10514" width="21.1640625" style="2" customWidth="1"/>
    <col min="10515" max="10515" width="6.6640625" style="2" customWidth="1"/>
    <col min="10516" max="10516" width="9.1640625" style="2" bestFit="1" customWidth="1"/>
    <col min="10517" max="10517" width="3.6640625" style="2" customWidth="1"/>
    <col min="10518" max="10518" width="13.5" style="2" customWidth="1"/>
    <col min="10519" max="10519" width="13.83203125" style="2" customWidth="1"/>
    <col min="10520" max="10520" width="12.6640625" style="2" customWidth="1"/>
    <col min="10521" max="10756" width="9" style="2"/>
    <col min="10757" max="10757" width="9.33203125" style="2" bestFit="1" customWidth="1"/>
    <col min="10758" max="10758" width="11.83203125" style="2" customWidth="1"/>
    <col min="10759" max="10759" width="9.33203125" style="2" bestFit="1" customWidth="1"/>
    <col min="10760" max="10767" width="10.6640625" style="2" customWidth="1"/>
    <col min="10768" max="10768" width="0" style="2" hidden="1" customWidth="1"/>
    <col min="10769" max="10769" width="2" style="2" customWidth="1"/>
    <col min="10770" max="10770" width="21.1640625" style="2" customWidth="1"/>
    <col min="10771" max="10771" width="6.6640625" style="2" customWidth="1"/>
    <col min="10772" max="10772" width="9.1640625" style="2" bestFit="1" customWidth="1"/>
    <col min="10773" max="10773" width="3.6640625" style="2" customWidth="1"/>
    <col min="10774" max="10774" width="13.5" style="2" customWidth="1"/>
    <col min="10775" max="10775" width="13.83203125" style="2" customWidth="1"/>
    <col min="10776" max="10776" width="12.6640625" style="2" customWidth="1"/>
    <col min="10777" max="11012" width="9" style="2"/>
    <col min="11013" max="11013" width="9.33203125" style="2" bestFit="1" customWidth="1"/>
    <col min="11014" max="11014" width="11.83203125" style="2" customWidth="1"/>
    <col min="11015" max="11015" width="9.33203125" style="2" bestFit="1" customWidth="1"/>
    <col min="11016" max="11023" width="10.6640625" style="2" customWidth="1"/>
    <col min="11024" max="11024" width="0" style="2" hidden="1" customWidth="1"/>
    <col min="11025" max="11025" width="2" style="2" customWidth="1"/>
    <col min="11026" max="11026" width="21.1640625" style="2" customWidth="1"/>
    <col min="11027" max="11027" width="6.6640625" style="2" customWidth="1"/>
    <col min="11028" max="11028" width="9.1640625" style="2" bestFit="1" customWidth="1"/>
    <col min="11029" max="11029" width="3.6640625" style="2" customWidth="1"/>
    <col min="11030" max="11030" width="13.5" style="2" customWidth="1"/>
    <col min="11031" max="11031" width="13.83203125" style="2" customWidth="1"/>
    <col min="11032" max="11032" width="12.6640625" style="2" customWidth="1"/>
    <col min="11033" max="11268" width="9" style="2"/>
    <col min="11269" max="11269" width="9.33203125" style="2" bestFit="1" customWidth="1"/>
    <col min="11270" max="11270" width="11.83203125" style="2" customWidth="1"/>
    <col min="11271" max="11271" width="9.33203125" style="2" bestFit="1" customWidth="1"/>
    <col min="11272" max="11279" width="10.6640625" style="2" customWidth="1"/>
    <col min="11280" max="11280" width="0" style="2" hidden="1" customWidth="1"/>
    <col min="11281" max="11281" width="2" style="2" customWidth="1"/>
    <col min="11282" max="11282" width="21.1640625" style="2" customWidth="1"/>
    <col min="11283" max="11283" width="6.6640625" style="2" customWidth="1"/>
    <col min="11284" max="11284" width="9.1640625" style="2" bestFit="1" customWidth="1"/>
    <col min="11285" max="11285" width="3.6640625" style="2" customWidth="1"/>
    <col min="11286" max="11286" width="13.5" style="2" customWidth="1"/>
    <col min="11287" max="11287" width="13.83203125" style="2" customWidth="1"/>
    <col min="11288" max="11288" width="12.6640625" style="2" customWidth="1"/>
    <col min="11289" max="11524" width="9" style="2"/>
    <col min="11525" max="11525" width="9.33203125" style="2" bestFit="1" customWidth="1"/>
    <col min="11526" max="11526" width="11.83203125" style="2" customWidth="1"/>
    <col min="11527" max="11527" width="9.33203125" style="2" bestFit="1" customWidth="1"/>
    <col min="11528" max="11535" width="10.6640625" style="2" customWidth="1"/>
    <col min="11536" max="11536" width="0" style="2" hidden="1" customWidth="1"/>
    <col min="11537" max="11537" width="2" style="2" customWidth="1"/>
    <col min="11538" max="11538" width="21.1640625" style="2" customWidth="1"/>
    <col min="11539" max="11539" width="6.6640625" style="2" customWidth="1"/>
    <col min="11540" max="11540" width="9.1640625" style="2" bestFit="1" customWidth="1"/>
    <col min="11541" max="11541" width="3.6640625" style="2" customWidth="1"/>
    <col min="11542" max="11542" width="13.5" style="2" customWidth="1"/>
    <col min="11543" max="11543" width="13.83203125" style="2" customWidth="1"/>
    <col min="11544" max="11544" width="12.6640625" style="2" customWidth="1"/>
    <col min="11545" max="11780" width="9" style="2"/>
    <col min="11781" max="11781" width="9.33203125" style="2" bestFit="1" customWidth="1"/>
    <col min="11782" max="11782" width="11.83203125" style="2" customWidth="1"/>
    <col min="11783" max="11783" width="9.33203125" style="2" bestFit="1" customWidth="1"/>
    <col min="11784" max="11791" width="10.6640625" style="2" customWidth="1"/>
    <col min="11792" max="11792" width="0" style="2" hidden="1" customWidth="1"/>
    <col min="11793" max="11793" width="2" style="2" customWidth="1"/>
    <col min="11794" max="11794" width="21.1640625" style="2" customWidth="1"/>
    <col min="11795" max="11795" width="6.6640625" style="2" customWidth="1"/>
    <col min="11796" max="11796" width="9.1640625" style="2" bestFit="1" customWidth="1"/>
    <col min="11797" max="11797" width="3.6640625" style="2" customWidth="1"/>
    <col min="11798" max="11798" width="13.5" style="2" customWidth="1"/>
    <col min="11799" max="11799" width="13.83203125" style="2" customWidth="1"/>
    <col min="11800" max="11800" width="12.6640625" style="2" customWidth="1"/>
    <col min="11801" max="12036" width="9" style="2"/>
    <col min="12037" max="12037" width="9.33203125" style="2" bestFit="1" customWidth="1"/>
    <col min="12038" max="12038" width="11.83203125" style="2" customWidth="1"/>
    <col min="12039" max="12039" width="9.33203125" style="2" bestFit="1" customWidth="1"/>
    <col min="12040" max="12047" width="10.6640625" style="2" customWidth="1"/>
    <col min="12048" max="12048" width="0" style="2" hidden="1" customWidth="1"/>
    <col min="12049" max="12049" width="2" style="2" customWidth="1"/>
    <col min="12050" max="12050" width="21.1640625" style="2" customWidth="1"/>
    <col min="12051" max="12051" width="6.6640625" style="2" customWidth="1"/>
    <col min="12052" max="12052" width="9.1640625" style="2" bestFit="1" customWidth="1"/>
    <col min="12053" max="12053" width="3.6640625" style="2" customWidth="1"/>
    <col min="12054" max="12054" width="13.5" style="2" customWidth="1"/>
    <col min="12055" max="12055" width="13.83203125" style="2" customWidth="1"/>
    <col min="12056" max="12056" width="12.6640625" style="2" customWidth="1"/>
    <col min="12057" max="12292" width="9" style="2"/>
    <col min="12293" max="12293" width="9.33203125" style="2" bestFit="1" customWidth="1"/>
    <col min="12294" max="12294" width="11.83203125" style="2" customWidth="1"/>
    <col min="12295" max="12295" width="9.33203125" style="2" bestFit="1" customWidth="1"/>
    <col min="12296" max="12303" width="10.6640625" style="2" customWidth="1"/>
    <col min="12304" max="12304" width="0" style="2" hidden="1" customWidth="1"/>
    <col min="12305" max="12305" width="2" style="2" customWidth="1"/>
    <col min="12306" max="12306" width="21.1640625" style="2" customWidth="1"/>
    <col min="12307" max="12307" width="6.6640625" style="2" customWidth="1"/>
    <col min="12308" max="12308" width="9.1640625" style="2" bestFit="1" customWidth="1"/>
    <col min="12309" max="12309" width="3.6640625" style="2" customWidth="1"/>
    <col min="12310" max="12310" width="13.5" style="2" customWidth="1"/>
    <col min="12311" max="12311" width="13.83203125" style="2" customWidth="1"/>
    <col min="12312" max="12312" width="12.6640625" style="2" customWidth="1"/>
    <col min="12313" max="12548" width="9" style="2"/>
    <col min="12549" max="12549" width="9.33203125" style="2" bestFit="1" customWidth="1"/>
    <col min="12550" max="12550" width="11.83203125" style="2" customWidth="1"/>
    <col min="12551" max="12551" width="9.33203125" style="2" bestFit="1" customWidth="1"/>
    <col min="12552" max="12559" width="10.6640625" style="2" customWidth="1"/>
    <col min="12560" max="12560" width="0" style="2" hidden="1" customWidth="1"/>
    <col min="12561" max="12561" width="2" style="2" customWidth="1"/>
    <col min="12562" max="12562" width="21.1640625" style="2" customWidth="1"/>
    <col min="12563" max="12563" width="6.6640625" style="2" customWidth="1"/>
    <col min="12564" max="12564" width="9.1640625" style="2" bestFit="1" customWidth="1"/>
    <col min="12565" max="12565" width="3.6640625" style="2" customWidth="1"/>
    <col min="12566" max="12566" width="13.5" style="2" customWidth="1"/>
    <col min="12567" max="12567" width="13.83203125" style="2" customWidth="1"/>
    <col min="12568" max="12568" width="12.6640625" style="2" customWidth="1"/>
    <col min="12569" max="12804" width="9" style="2"/>
    <col min="12805" max="12805" width="9.33203125" style="2" bestFit="1" customWidth="1"/>
    <col min="12806" max="12806" width="11.83203125" style="2" customWidth="1"/>
    <col min="12807" max="12807" width="9.33203125" style="2" bestFit="1" customWidth="1"/>
    <col min="12808" max="12815" width="10.6640625" style="2" customWidth="1"/>
    <col min="12816" max="12816" width="0" style="2" hidden="1" customWidth="1"/>
    <col min="12817" max="12817" width="2" style="2" customWidth="1"/>
    <col min="12818" max="12818" width="21.1640625" style="2" customWidth="1"/>
    <col min="12819" max="12819" width="6.6640625" style="2" customWidth="1"/>
    <col min="12820" max="12820" width="9.1640625" style="2" bestFit="1" customWidth="1"/>
    <col min="12821" max="12821" width="3.6640625" style="2" customWidth="1"/>
    <col min="12822" max="12822" width="13.5" style="2" customWidth="1"/>
    <col min="12823" max="12823" width="13.83203125" style="2" customWidth="1"/>
    <col min="12824" max="12824" width="12.6640625" style="2" customWidth="1"/>
    <col min="12825" max="13060" width="9" style="2"/>
    <col min="13061" max="13061" width="9.33203125" style="2" bestFit="1" customWidth="1"/>
    <col min="13062" max="13062" width="11.83203125" style="2" customWidth="1"/>
    <col min="13063" max="13063" width="9.33203125" style="2" bestFit="1" customWidth="1"/>
    <col min="13064" max="13071" width="10.6640625" style="2" customWidth="1"/>
    <col min="13072" max="13072" width="0" style="2" hidden="1" customWidth="1"/>
    <col min="13073" max="13073" width="2" style="2" customWidth="1"/>
    <col min="13074" max="13074" width="21.1640625" style="2" customWidth="1"/>
    <col min="13075" max="13075" width="6.6640625" style="2" customWidth="1"/>
    <col min="13076" max="13076" width="9.1640625" style="2" bestFit="1" customWidth="1"/>
    <col min="13077" max="13077" width="3.6640625" style="2" customWidth="1"/>
    <col min="13078" max="13078" width="13.5" style="2" customWidth="1"/>
    <col min="13079" max="13079" width="13.83203125" style="2" customWidth="1"/>
    <col min="13080" max="13080" width="12.6640625" style="2" customWidth="1"/>
    <col min="13081" max="13316" width="9" style="2"/>
    <col min="13317" max="13317" width="9.33203125" style="2" bestFit="1" customWidth="1"/>
    <col min="13318" max="13318" width="11.83203125" style="2" customWidth="1"/>
    <col min="13319" max="13319" width="9.33203125" style="2" bestFit="1" customWidth="1"/>
    <col min="13320" max="13327" width="10.6640625" style="2" customWidth="1"/>
    <col min="13328" max="13328" width="0" style="2" hidden="1" customWidth="1"/>
    <col min="13329" max="13329" width="2" style="2" customWidth="1"/>
    <col min="13330" max="13330" width="21.1640625" style="2" customWidth="1"/>
    <col min="13331" max="13331" width="6.6640625" style="2" customWidth="1"/>
    <col min="13332" max="13332" width="9.1640625" style="2" bestFit="1" customWidth="1"/>
    <col min="13333" max="13333" width="3.6640625" style="2" customWidth="1"/>
    <col min="13334" max="13334" width="13.5" style="2" customWidth="1"/>
    <col min="13335" max="13335" width="13.83203125" style="2" customWidth="1"/>
    <col min="13336" max="13336" width="12.6640625" style="2" customWidth="1"/>
    <col min="13337" max="13572" width="9" style="2"/>
    <col min="13573" max="13573" width="9.33203125" style="2" bestFit="1" customWidth="1"/>
    <col min="13574" max="13574" width="11.83203125" style="2" customWidth="1"/>
    <col min="13575" max="13575" width="9.33203125" style="2" bestFit="1" customWidth="1"/>
    <col min="13576" max="13583" width="10.6640625" style="2" customWidth="1"/>
    <col min="13584" max="13584" width="0" style="2" hidden="1" customWidth="1"/>
    <col min="13585" max="13585" width="2" style="2" customWidth="1"/>
    <col min="13586" max="13586" width="21.1640625" style="2" customWidth="1"/>
    <col min="13587" max="13587" width="6.6640625" style="2" customWidth="1"/>
    <col min="13588" max="13588" width="9.1640625" style="2" bestFit="1" customWidth="1"/>
    <col min="13589" max="13589" width="3.6640625" style="2" customWidth="1"/>
    <col min="13590" max="13590" width="13.5" style="2" customWidth="1"/>
    <col min="13591" max="13591" width="13.83203125" style="2" customWidth="1"/>
    <col min="13592" max="13592" width="12.6640625" style="2" customWidth="1"/>
    <col min="13593" max="13828" width="9" style="2"/>
    <col min="13829" max="13829" width="9.33203125" style="2" bestFit="1" customWidth="1"/>
    <col min="13830" max="13830" width="11.83203125" style="2" customWidth="1"/>
    <col min="13831" max="13831" width="9.33203125" style="2" bestFit="1" customWidth="1"/>
    <col min="13832" max="13839" width="10.6640625" style="2" customWidth="1"/>
    <col min="13840" max="13840" width="0" style="2" hidden="1" customWidth="1"/>
    <col min="13841" max="13841" width="2" style="2" customWidth="1"/>
    <col min="13842" max="13842" width="21.1640625" style="2" customWidth="1"/>
    <col min="13843" max="13843" width="6.6640625" style="2" customWidth="1"/>
    <col min="13844" max="13844" width="9.1640625" style="2" bestFit="1" customWidth="1"/>
    <col min="13845" max="13845" width="3.6640625" style="2" customWidth="1"/>
    <col min="13846" max="13846" width="13.5" style="2" customWidth="1"/>
    <col min="13847" max="13847" width="13.83203125" style="2" customWidth="1"/>
    <col min="13848" max="13848" width="12.6640625" style="2" customWidth="1"/>
    <col min="13849" max="14084" width="9" style="2"/>
    <col min="14085" max="14085" width="9.33203125" style="2" bestFit="1" customWidth="1"/>
    <col min="14086" max="14086" width="11.83203125" style="2" customWidth="1"/>
    <col min="14087" max="14087" width="9.33203125" style="2" bestFit="1" customWidth="1"/>
    <col min="14088" max="14095" width="10.6640625" style="2" customWidth="1"/>
    <col min="14096" max="14096" width="0" style="2" hidden="1" customWidth="1"/>
    <col min="14097" max="14097" width="2" style="2" customWidth="1"/>
    <col min="14098" max="14098" width="21.1640625" style="2" customWidth="1"/>
    <col min="14099" max="14099" width="6.6640625" style="2" customWidth="1"/>
    <col min="14100" max="14100" width="9.1640625" style="2" bestFit="1" customWidth="1"/>
    <col min="14101" max="14101" width="3.6640625" style="2" customWidth="1"/>
    <col min="14102" max="14102" width="13.5" style="2" customWidth="1"/>
    <col min="14103" max="14103" width="13.83203125" style="2" customWidth="1"/>
    <col min="14104" max="14104" width="12.6640625" style="2" customWidth="1"/>
    <col min="14105" max="14340" width="9" style="2"/>
    <col min="14341" max="14341" width="9.33203125" style="2" bestFit="1" customWidth="1"/>
    <col min="14342" max="14342" width="11.83203125" style="2" customWidth="1"/>
    <col min="14343" max="14343" width="9.33203125" style="2" bestFit="1" customWidth="1"/>
    <col min="14344" max="14351" width="10.6640625" style="2" customWidth="1"/>
    <col min="14352" max="14352" width="0" style="2" hidden="1" customWidth="1"/>
    <col min="14353" max="14353" width="2" style="2" customWidth="1"/>
    <col min="14354" max="14354" width="21.1640625" style="2" customWidth="1"/>
    <col min="14355" max="14355" width="6.6640625" style="2" customWidth="1"/>
    <col min="14356" max="14356" width="9.1640625" style="2" bestFit="1" customWidth="1"/>
    <col min="14357" max="14357" width="3.6640625" style="2" customWidth="1"/>
    <col min="14358" max="14358" width="13.5" style="2" customWidth="1"/>
    <col min="14359" max="14359" width="13.83203125" style="2" customWidth="1"/>
    <col min="14360" max="14360" width="12.6640625" style="2" customWidth="1"/>
    <col min="14361" max="14596" width="9" style="2"/>
    <col min="14597" max="14597" width="9.33203125" style="2" bestFit="1" customWidth="1"/>
    <col min="14598" max="14598" width="11.83203125" style="2" customWidth="1"/>
    <col min="14599" max="14599" width="9.33203125" style="2" bestFit="1" customWidth="1"/>
    <col min="14600" max="14607" width="10.6640625" style="2" customWidth="1"/>
    <col min="14608" max="14608" width="0" style="2" hidden="1" customWidth="1"/>
    <col min="14609" max="14609" width="2" style="2" customWidth="1"/>
    <col min="14610" max="14610" width="21.1640625" style="2" customWidth="1"/>
    <col min="14611" max="14611" width="6.6640625" style="2" customWidth="1"/>
    <col min="14612" max="14612" width="9.1640625" style="2" bestFit="1" customWidth="1"/>
    <col min="14613" max="14613" width="3.6640625" style="2" customWidth="1"/>
    <col min="14614" max="14614" width="13.5" style="2" customWidth="1"/>
    <col min="14615" max="14615" width="13.83203125" style="2" customWidth="1"/>
    <col min="14616" max="14616" width="12.6640625" style="2" customWidth="1"/>
    <col min="14617" max="14852" width="9" style="2"/>
    <col min="14853" max="14853" width="9.33203125" style="2" bestFit="1" customWidth="1"/>
    <col min="14854" max="14854" width="11.83203125" style="2" customWidth="1"/>
    <col min="14855" max="14855" width="9.33203125" style="2" bestFit="1" customWidth="1"/>
    <col min="14856" max="14863" width="10.6640625" style="2" customWidth="1"/>
    <col min="14864" max="14864" width="0" style="2" hidden="1" customWidth="1"/>
    <col min="14865" max="14865" width="2" style="2" customWidth="1"/>
    <col min="14866" max="14866" width="21.1640625" style="2" customWidth="1"/>
    <col min="14867" max="14867" width="6.6640625" style="2" customWidth="1"/>
    <col min="14868" max="14868" width="9.1640625" style="2" bestFit="1" customWidth="1"/>
    <col min="14869" max="14869" width="3.6640625" style="2" customWidth="1"/>
    <col min="14870" max="14870" width="13.5" style="2" customWidth="1"/>
    <col min="14871" max="14871" width="13.83203125" style="2" customWidth="1"/>
    <col min="14872" max="14872" width="12.6640625" style="2" customWidth="1"/>
    <col min="14873" max="15108" width="9" style="2"/>
    <col min="15109" max="15109" width="9.33203125" style="2" bestFit="1" customWidth="1"/>
    <col min="15110" max="15110" width="11.83203125" style="2" customWidth="1"/>
    <col min="15111" max="15111" width="9.33203125" style="2" bestFit="1" customWidth="1"/>
    <col min="15112" max="15119" width="10.6640625" style="2" customWidth="1"/>
    <col min="15120" max="15120" width="0" style="2" hidden="1" customWidth="1"/>
    <col min="15121" max="15121" width="2" style="2" customWidth="1"/>
    <col min="15122" max="15122" width="21.1640625" style="2" customWidth="1"/>
    <col min="15123" max="15123" width="6.6640625" style="2" customWidth="1"/>
    <col min="15124" max="15124" width="9.1640625" style="2" bestFit="1" customWidth="1"/>
    <col min="15125" max="15125" width="3.6640625" style="2" customWidth="1"/>
    <col min="15126" max="15126" width="13.5" style="2" customWidth="1"/>
    <col min="15127" max="15127" width="13.83203125" style="2" customWidth="1"/>
    <col min="15128" max="15128" width="12.6640625" style="2" customWidth="1"/>
    <col min="15129" max="15364" width="9" style="2"/>
    <col min="15365" max="15365" width="9.33203125" style="2" bestFit="1" customWidth="1"/>
    <col min="15366" max="15366" width="11.83203125" style="2" customWidth="1"/>
    <col min="15367" max="15367" width="9.33203125" style="2" bestFit="1" customWidth="1"/>
    <col min="15368" max="15375" width="10.6640625" style="2" customWidth="1"/>
    <col min="15376" max="15376" width="0" style="2" hidden="1" customWidth="1"/>
    <col min="15377" max="15377" width="2" style="2" customWidth="1"/>
    <col min="15378" max="15378" width="21.1640625" style="2" customWidth="1"/>
    <col min="15379" max="15379" width="6.6640625" style="2" customWidth="1"/>
    <col min="15380" max="15380" width="9.1640625" style="2" bestFit="1" customWidth="1"/>
    <col min="15381" max="15381" width="3.6640625" style="2" customWidth="1"/>
    <col min="15382" max="15382" width="13.5" style="2" customWidth="1"/>
    <col min="15383" max="15383" width="13.83203125" style="2" customWidth="1"/>
    <col min="15384" max="15384" width="12.6640625" style="2" customWidth="1"/>
    <col min="15385" max="15620" width="9" style="2"/>
    <col min="15621" max="15621" width="9.33203125" style="2" bestFit="1" customWidth="1"/>
    <col min="15622" max="15622" width="11.83203125" style="2" customWidth="1"/>
    <col min="15623" max="15623" width="9.33203125" style="2" bestFit="1" customWidth="1"/>
    <col min="15624" max="15631" width="10.6640625" style="2" customWidth="1"/>
    <col min="15632" max="15632" width="0" style="2" hidden="1" customWidth="1"/>
    <col min="15633" max="15633" width="2" style="2" customWidth="1"/>
    <col min="15634" max="15634" width="21.1640625" style="2" customWidth="1"/>
    <col min="15635" max="15635" width="6.6640625" style="2" customWidth="1"/>
    <col min="15636" max="15636" width="9.1640625" style="2" bestFit="1" customWidth="1"/>
    <col min="15637" max="15637" width="3.6640625" style="2" customWidth="1"/>
    <col min="15638" max="15638" width="13.5" style="2" customWidth="1"/>
    <col min="15639" max="15639" width="13.83203125" style="2" customWidth="1"/>
    <col min="15640" max="15640" width="12.6640625" style="2" customWidth="1"/>
    <col min="15641" max="15876" width="9" style="2"/>
    <col min="15877" max="15877" width="9.33203125" style="2" bestFit="1" customWidth="1"/>
    <col min="15878" max="15878" width="11.83203125" style="2" customWidth="1"/>
    <col min="15879" max="15879" width="9.33203125" style="2" bestFit="1" customWidth="1"/>
    <col min="15880" max="15887" width="10.6640625" style="2" customWidth="1"/>
    <col min="15888" max="15888" width="0" style="2" hidden="1" customWidth="1"/>
    <col min="15889" max="15889" width="2" style="2" customWidth="1"/>
    <col min="15890" max="15890" width="21.1640625" style="2" customWidth="1"/>
    <col min="15891" max="15891" width="6.6640625" style="2" customWidth="1"/>
    <col min="15892" max="15892" width="9.1640625" style="2" bestFit="1" customWidth="1"/>
    <col min="15893" max="15893" width="3.6640625" style="2" customWidth="1"/>
    <col min="15894" max="15894" width="13.5" style="2" customWidth="1"/>
    <col min="15895" max="15895" width="13.83203125" style="2" customWidth="1"/>
    <col min="15896" max="15896" width="12.6640625" style="2" customWidth="1"/>
    <col min="15897" max="16132" width="9" style="2"/>
    <col min="16133" max="16133" width="9.33203125" style="2" bestFit="1" customWidth="1"/>
    <col min="16134" max="16134" width="11.83203125" style="2" customWidth="1"/>
    <col min="16135" max="16135" width="9.33203125" style="2" bestFit="1" customWidth="1"/>
    <col min="16136" max="16143" width="10.6640625" style="2" customWidth="1"/>
    <col min="16144" max="16144" width="0" style="2" hidden="1" customWidth="1"/>
    <col min="16145" max="16145" width="2" style="2" customWidth="1"/>
    <col min="16146" max="16146" width="21.1640625" style="2" customWidth="1"/>
    <col min="16147" max="16147" width="6.6640625" style="2" customWidth="1"/>
    <col min="16148" max="16148" width="9.1640625" style="2" bestFit="1" customWidth="1"/>
    <col min="16149" max="16149" width="3.6640625" style="2" customWidth="1"/>
    <col min="16150" max="16150" width="13.5" style="2" customWidth="1"/>
    <col min="16151" max="16151" width="13.83203125" style="2" customWidth="1"/>
    <col min="16152" max="16152" width="12.6640625" style="2" customWidth="1"/>
    <col min="16153" max="16383" width="9" style="2"/>
    <col min="16384" max="16384" width="9" style="2" customWidth="1"/>
  </cols>
  <sheetData>
    <row r="1" spans="1:20" ht="26.25" customHeight="1">
      <c r="A1" s="1">
        <v>4</v>
      </c>
      <c r="B1" s="1"/>
    </row>
    <row r="2" spans="1:20" ht="20" customHeight="1">
      <c r="A2" s="238" t="s">
        <v>0</v>
      </c>
      <c r="B2" s="240" t="s">
        <v>1</v>
      </c>
      <c r="C2" s="242" t="s">
        <v>2</v>
      </c>
      <c r="D2" s="244" t="s">
        <v>11</v>
      </c>
      <c r="E2" s="245"/>
      <c r="F2" s="245"/>
      <c r="G2" s="246" t="s">
        <v>12</v>
      </c>
      <c r="H2" s="247"/>
      <c r="I2" s="247"/>
      <c r="J2" s="248" t="s">
        <v>13</v>
      </c>
      <c r="K2" s="249"/>
      <c r="L2" s="249"/>
      <c r="M2" s="231" t="s">
        <v>14</v>
      </c>
      <c r="N2" s="232"/>
      <c r="O2" s="232"/>
      <c r="P2" s="3"/>
    </row>
    <row r="3" spans="1:20" ht="20" customHeight="1">
      <c r="A3" s="239"/>
      <c r="B3" s="241"/>
      <c r="C3" s="243"/>
      <c r="D3" s="4" t="s">
        <v>3</v>
      </c>
      <c r="E3" s="5" t="s">
        <v>29</v>
      </c>
      <c r="F3" s="33" t="s">
        <v>28</v>
      </c>
      <c r="G3" s="4" t="s">
        <v>3</v>
      </c>
      <c r="H3" s="5" t="s">
        <v>29</v>
      </c>
      <c r="I3" s="33" t="s">
        <v>28</v>
      </c>
      <c r="J3" s="4" t="s">
        <v>3</v>
      </c>
      <c r="K3" s="5" t="s">
        <v>29</v>
      </c>
      <c r="L3" s="33" t="s">
        <v>28</v>
      </c>
      <c r="M3" s="4" t="s">
        <v>3</v>
      </c>
      <c r="N3" s="5" t="s">
        <v>29</v>
      </c>
      <c r="O3" s="33" t="s">
        <v>28</v>
      </c>
      <c r="P3" s="6" t="s">
        <v>1</v>
      </c>
      <c r="Q3" s="7"/>
      <c r="R3" s="7"/>
      <c r="S3" s="7"/>
    </row>
    <row r="4" spans="1:20" ht="20" customHeight="1">
      <c r="A4" s="8">
        <v>1300000</v>
      </c>
      <c r="B4" s="9"/>
      <c r="C4" s="10"/>
      <c r="D4" s="11">
        <v>0</v>
      </c>
      <c r="E4" s="12" t="str">
        <f t="shared" ref="E4:E15" si="0">IF(D4/D$16=0,"",D4/D$16)</f>
        <v/>
      </c>
      <c r="F4" s="11">
        <v>0</v>
      </c>
      <c r="G4" s="11">
        <v>0</v>
      </c>
      <c r="H4" s="12" t="str">
        <f t="shared" ref="H4:H15" si="1">IF(G4/G$16=0,"",G4/G$16)</f>
        <v/>
      </c>
      <c r="I4" s="11">
        <v>0</v>
      </c>
      <c r="J4" s="11">
        <v>0</v>
      </c>
      <c r="K4" s="12" t="str">
        <f t="shared" ref="K4:K15" si="2">IF(J4/J$16=0,"",J4/J$16)</f>
        <v/>
      </c>
      <c r="L4" s="11">
        <v>0</v>
      </c>
      <c r="M4" s="11">
        <v>0</v>
      </c>
      <c r="N4" s="11"/>
      <c r="O4" s="11">
        <v>0</v>
      </c>
      <c r="P4" s="25" t="s">
        <v>16</v>
      </c>
      <c r="Q4" s="7"/>
      <c r="R4" s="7"/>
      <c r="S4" s="7"/>
    </row>
    <row r="5" spans="1:20" ht="20" customHeight="1">
      <c r="A5" s="13">
        <v>1200000</v>
      </c>
      <c r="B5" s="14"/>
      <c r="C5" s="15"/>
      <c r="D5" s="11">
        <v>0</v>
      </c>
      <c r="E5" s="12" t="str">
        <f t="shared" si="0"/>
        <v/>
      </c>
      <c r="F5" s="11">
        <v>0</v>
      </c>
      <c r="G5" s="11">
        <v>0</v>
      </c>
      <c r="H5" s="12" t="str">
        <f t="shared" si="1"/>
        <v/>
      </c>
      <c r="I5" s="11">
        <v>0</v>
      </c>
      <c r="J5" s="11">
        <v>0</v>
      </c>
      <c r="K5" s="12" t="str">
        <f t="shared" si="2"/>
        <v/>
      </c>
      <c r="L5" s="11">
        <v>0</v>
      </c>
      <c r="M5" s="11">
        <v>0</v>
      </c>
      <c r="N5" s="11"/>
      <c r="O5" s="11">
        <v>0</v>
      </c>
      <c r="P5" s="25" t="s">
        <v>20</v>
      </c>
      <c r="Q5" s="7"/>
      <c r="R5" s="7"/>
      <c r="S5" s="7"/>
    </row>
    <row r="6" spans="1:20" ht="20" customHeight="1">
      <c r="A6" s="13">
        <v>1100000</v>
      </c>
      <c r="B6" s="16"/>
      <c r="C6" s="17"/>
      <c r="D6" s="18">
        <v>0</v>
      </c>
      <c r="E6" s="19" t="str">
        <f t="shared" si="0"/>
        <v/>
      </c>
      <c r="F6" s="18">
        <v>0</v>
      </c>
      <c r="G6" s="20">
        <v>0</v>
      </c>
      <c r="H6" s="19" t="str">
        <f t="shared" si="1"/>
        <v/>
      </c>
      <c r="I6" s="18">
        <v>0</v>
      </c>
      <c r="J6" s="20">
        <v>0</v>
      </c>
      <c r="K6" s="19" t="str">
        <f t="shared" si="2"/>
        <v/>
      </c>
      <c r="L6" s="18">
        <v>0</v>
      </c>
      <c r="M6" s="20">
        <v>0</v>
      </c>
      <c r="N6" s="20"/>
      <c r="O6" s="18">
        <v>0</v>
      </c>
      <c r="P6" s="25" t="s">
        <v>21</v>
      </c>
      <c r="Q6" s="21"/>
      <c r="R6" s="21"/>
      <c r="S6" s="21"/>
      <c r="T6" s="2">
        <v>9.5</v>
      </c>
    </row>
    <row r="7" spans="1:20" ht="20" customHeight="1">
      <c r="A7" s="13">
        <v>1000000</v>
      </c>
      <c r="B7" s="16"/>
      <c r="C7" s="17"/>
      <c r="D7" s="20">
        <v>0</v>
      </c>
      <c r="E7" s="19" t="str">
        <f t="shared" si="0"/>
        <v/>
      </c>
      <c r="F7" s="20">
        <v>0</v>
      </c>
      <c r="G7" s="20">
        <v>0</v>
      </c>
      <c r="H7" s="19" t="str">
        <f t="shared" si="1"/>
        <v/>
      </c>
      <c r="I7" s="20">
        <v>0</v>
      </c>
      <c r="J7" s="20">
        <v>0</v>
      </c>
      <c r="K7" s="19" t="str">
        <f t="shared" si="2"/>
        <v/>
      </c>
      <c r="L7" s="20">
        <v>0</v>
      </c>
      <c r="M7" s="20">
        <v>0</v>
      </c>
      <c r="N7" s="20"/>
      <c r="O7" s="20">
        <v>0</v>
      </c>
      <c r="P7" s="25" t="s">
        <v>22</v>
      </c>
      <c r="Q7" s="21"/>
      <c r="R7" s="21"/>
      <c r="S7" s="21"/>
      <c r="T7" s="2">
        <v>8.5</v>
      </c>
    </row>
    <row r="8" spans="1:20" ht="20" customHeight="1">
      <c r="A8" s="13">
        <v>900000</v>
      </c>
      <c r="B8" s="16"/>
      <c r="C8" s="17"/>
      <c r="D8" s="20">
        <v>0</v>
      </c>
      <c r="E8" s="19" t="str">
        <f t="shared" si="0"/>
        <v/>
      </c>
      <c r="F8" s="20">
        <v>0</v>
      </c>
      <c r="G8" s="20">
        <v>0</v>
      </c>
      <c r="H8" s="19" t="str">
        <f t="shared" si="1"/>
        <v/>
      </c>
      <c r="I8" s="20">
        <v>0</v>
      </c>
      <c r="J8" s="20">
        <v>0</v>
      </c>
      <c r="K8" s="19" t="str">
        <f t="shared" si="2"/>
        <v/>
      </c>
      <c r="L8" s="20">
        <v>0</v>
      </c>
      <c r="M8" s="20">
        <v>0</v>
      </c>
      <c r="N8" s="20"/>
      <c r="O8" s="20">
        <v>0</v>
      </c>
      <c r="P8" s="25" t="s">
        <v>23</v>
      </c>
      <c r="Q8" s="21"/>
      <c r="R8" s="21"/>
      <c r="S8" s="21"/>
      <c r="T8" s="2">
        <v>7.5</v>
      </c>
    </row>
    <row r="9" spans="1:20" ht="20" customHeight="1">
      <c r="A9" s="13">
        <v>800000</v>
      </c>
      <c r="B9" s="16"/>
      <c r="C9" s="17"/>
      <c r="D9" s="20">
        <v>0</v>
      </c>
      <c r="E9" s="19" t="str">
        <f t="shared" si="0"/>
        <v/>
      </c>
      <c r="F9" s="20">
        <v>0</v>
      </c>
      <c r="G9" s="20">
        <v>0</v>
      </c>
      <c r="H9" s="19" t="str">
        <f t="shared" si="1"/>
        <v/>
      </c>
      <c r="I9" s="20">
        <v>0</v>
      </c>
      <c r="J9" s="20">
        <v>0</v>
      </c>
      <c r="K9" s="19" t="str">
        <f t="shared" si="2"/>
        <v/>
      </c>
      <c r="L9" s="20">
        <v>0</v>
      </c>
      <c r="M9" s="20">
        <v>1</v>
      </c>
      <c r="N9" s="20"/>
      <c r="O9" s="20">
        <v>0</v>
      </c>
      <c r="P9" s="25" t="s">
        <v>24</v>
      </c>
      <c r="Q9" s="21"/>
      <c r="R9" s="21"/>
      <c r="S9" s="21"/>
      <c r="T9" s="2">
        <v>6.5</v>
      </c>
    </row>
    <row r="10" spans="1:20" ht="20" customHeight="1">
      <c r="A10" s="13">
        <v>700000</v>
      </c>
      <c r="B10" s="16"/>
      <c r="C10" s="17"/>
      <c r="D10" s="20">
        <v>25</v>
      </c>
      <c r="E10" s="19">
        <f>IF(D10/D$16=0,"",D10/D$16)</f>
        <v>0.86206896551724133</v>
      </c>
      <c r="F10" s="20">
        <v>0</v>
      </c>
      <c r="G10" s="20">
        <v>15</v>
      </c>
      <c r="H10" s="19">
        <f t="shared" si="1"/>
        <v>0.45454545454545453</v>
      </c>
      <c r="I10" s="20">
        <v>0</v>
      </c>
      <c r="J10" s="20">
        <v>0</v>
      </c>
      <c r="K10" s="19" t="str">
        <f t="shared" si="2"/>
        <v/>
      </c>
      <c r="L10" s="20">
        <v>0</v>
      </c>
      <c r="M10" s="20">
        <v>0</v>
      </c>
      <c r="N10" s="20"/>
      <c r="O10" s="20">
        <v>0</v>
      </c>
      <c r="P10" s="25" t="s">
        <v>25</v>
      </c>
      <c r="Q10" s="21"/>
      <c r="R10" s="21"/>
      <c r="S10" s="21"/>
      <c r="T10" s="2">
        <v>5.5</v>
      </c>
    </row>
    <row r="11" spans="1:20" ht="20" customHeight="1">
      <c r="A11" s="13">
        <v>600000</v>
      </c>
      <c r="B11" s="16"/>
      <c r="C11" s="17"/>
      <c r="D11" s="20">
        <v>4</v>
      </c>
      <c r="E11" s="19">
        <f t="shared" si="0"/>
        <v>0.13793103448275862</v>
      </c>
      <c r="F11" s="20">
        <v>0</v>
      </c>
      <c r="G11" s="20">
        <v>18</v>
      </c>
      <c r="H11" s="19">
        <f t="shared" si="1"/>
        <v>0.54545454545454541</v>
      </c>
      <c r="I11" s="20">
        <v>0</v>
      </c>
      <c r="J11" s="20">
        <v>42</v>
      </c>
      <c r="K11" s="19">
        <f t="shared" si="2"/>
        <v>0.62686567164179108</v>
      </c>
      <c r="L11" s="20">
        <v>0</v>
      </c>
      <c r="M11" s="20">
        <v>16</v>
      </c>
      <c r="N11" s="20"/>
      <c r="O11" s="20">
        <v>0</v>
      </c>
      <c r="P11" s="25" t="s">
        <v>26</v>
      </c>
      <c r="Q11" s="21"/>
      <c r="R11" s="21"/>
      <c r="S11" s="21"/>
      <c r="T11" s="2">
        <v>4.5</v>
      </c>
    </row>
    <row r="12" spans="1:20" ht="20" customHeight="1">
      <c r="A12" s="13">
        <v>500000</v>
      </c>
      <c r="B12" s="16"/>
      <c r="C12" s="17"/>
      <c r="D12" s="20">
        <v>0</v>
      </c>
      <c r="E12" s="19" t="str">
        <f t="shared" si="0"/>
        <v/>
      </c>
      <c r="F12" s="20">
        <v>0</v>
      </c>
      <c r="G12" s="20">
        <v>0</v>
      </c>
      <c r="H12" s="19" t="str">
        <f t="shared" si="1"/>
        <v/>
      </c>
      <c r="I12" s="20">
        <v>0</v>
      </c>
      <c r="J12" s="20">
        <v>25</v>
      </c>
      <c r="K12" s="19">
        <f t="shared" si="2"/>
        <v>0.37313432835820898</v>
      </c>
      <c r="L12" s="20">
        <v>0</v>
      </c>
      <c r="M12" s="20">
        <v>0</v>
      </c>
      <c r="N12" s="20"/>
      <c r="O12" s="20">
        <v>0</v>
      </c>
      <c r="P12" s="25" t="s">
        <v>27</v>
      </c>
      <c r="Q12" s="21"/>
      <c r="R12" s="21"/>
      <c r="S12" s="21"/>
      <c r="T12" s="2">
        <v>3.5</v>
      </c>
    </row>
    <row r="13" spans="1:20" ht="20" customHeight="1">
      <c r="A13" s="13">
        <v>400000</v>
      </c>
      <c r="B13" s="16"/>
      <c r="C13" s="17"/>
      <c r="D13" s="20">
        <v>0</v>
      </c>
      <c r="E13" s="19" t="str">
        <f t="shared" si="0"/>
        <v/>
      </c>
      <c r="F13" s="20">
        <v>0</v>
      </c>
      <c r="G13" s="20">
        <v>0</v>
      </c>
      <c r="H13" s="19" t="str">
        <f t="shared" si="1"/>
        <v/>
      </c>
      <c r="I13" s="20">
        <v>0</v>
      </c>
      <c r="J13" s="20">
        <v>0</v>
      </c>
      <c r="K13" s="19" t="str">
        <f t="shared" si="2"/>
        <v/>
      </c>
      <c r="L13" s="20">
        <v>0</v>
      </c>
      <c r="M13" s="20">
        <v>0</v>
      </c>
      <c r="N13" s="20"/>
      <c r="O13" s="20">
        <v>0</v>
      </c>
      <c r="P13" s="25" t="s">
        <v>19</v>
      </c>
      <c r="Q13" s="21"/>
      <c r="R13" s="21"/>
      <c r="S13" s="21"/>
      <c r="T13" s="2">
        <v>2.5</v>
      </c>
    </row>
    <row r="14" spans="1:20" ht="20" customHeight="1">
      <c r="A14" s="13">
        <v>300000</v>
      </c>
      <c r="B14" s="16"/>
      <c r="C14" s="17"/>
      <c r="D14" s="20">
        <v>0</v>
      </c>
      <c r="E14" s="19" t="str">
        <f t="shared" si="0"/>
        <v/>
      </c>
      <c r="F14" s="20">
        <v>0</v>
      </c>
      <c r="G14" s="20">
        <v>0</v>
      </c>
      <c r="H14" s="19" t="str">
        <f t="shared" si="1"/>
        <v/>
      </c>
      <c r="I14" s="20">
        <v>0</v>
      </c>
      <c r="J14" s="20">
        <v>0</v>
      </c>
      <c r="K14" s="19" t="str">
        <f t="shared" si="2"/>
        <v/>
      </c>
      <c r="L14" s="20">
        <v>0</v>
      </c>
      <c r="M14" s="20">
        <v>0</v>
      </c>
      <c r="N14" s="20"/>
      <c r="O14" s="20">
        <v>0</v>
      </c>
      <c r="P14" s="25" t="s">
        <v>17</v>
      </c>
      <c r="Q14" s="21"/>
      <c r="R14" s="21"/>
      <c r="S14" s="21"/>
      <c r="T14" s="2">
        <v>1.5</v>
      </c>
    </row>
    <row r="15" spans="1:20" ht="20" customHeight="1">
      <c r="A15" s="22">
        <v>200000</v>
      </c>
      <c r="B15" s="23" t="s">
        <v>15</v>
      </c>
      <c r="C15" s="24"/>
      <c r="D15" s="20">
        <v>0</v>
      </c>
      <c r="E15" s="19" t="str">
        <f t="shared" si="0"/>
        <v/>
      </c>
      <c r="F15" s="20">
        <v>0</v>
      </c>
      <c r="G15" s="20">
        <v>0</v>
      </c>
      <c r="H15" s="19" t="str">
        <f t="shared" si="1"/>
        <v/>
      </c>
      <c r="I15" s="20">
        <v>0</v>
      </c>
      <c r="J15" s="20">
        <v>0</v>
      </c>
      <c r="K15" s="19" t="str">
        <f t="shared" si="2"/>
        <v/>
      </c>
      <c r="L15" s="20">
        <v>0</v>
      </c>
      <c r="M15" s="20">
        <v>0</v>
      </c>
      <c r="N15" s="20"/>
      <c r="O15" s="20">
        <v>0</v>
      </c>
      <c r="P15" s="25" t="s">
        <v>18</v>
      </c>
      <c r="Q15" s="21"/>
      <c r="R15" s="21"/>
      <c r="S15" s="21"/>
      <c r="T15" s="2">
        <v>0.5</v>
      </c>
    </row>
    <row r="16" spans="1:20" ht="20" customHeight="1">
      <c r="A16" s="233" t="s">
        <v>4</v>
      </c>
      <c r="B16" s="234"/>
      <c r="C16" s="235"/>
      <c r="D16" s="236">
        <f>SUM(D4:D15)</f>
        <v>29</v>
      </c>
      <c r="E16" s="236"/>
      <c r="F16" s="236"/>
      <c r="G16" s="237">
        <f>SUM(G4:G15)</f>
        <v>33</v>
      </c>
      <c r="H16" s="236"/>
      <c r="I16" s="236"/>
      <c r="J16" s="237">
        <f>SUM(J4:J15)</f>
        <v>67</v>
      </c>
      <c r="K16" s="236"/>
      <c r="L16" s="236"/>
      <c r="M16" s="237">
        <f>SUM(M4:M15)</f>
        <v>17</v>
      </c>
      <c r="N16" s="236"/>
      <c r="O16" s="236"/>
      <c r="P16" s="26"/>
      <c r="Q16" s="21"/>
      <c r="R16" s="21"/>
      <c r="S16" s="21"/>
    </row>
    <row r="17" spans="1:23" ht="20" customHeight="1">
      <c r="A17" s="224" t="s">
        <v>5</v>
      </c>
      <c r="B17" s="225"/>
      <c r="C17" s="226"/>
      <c r="D17" s="227">
        <f>MAX(D4:D15)</f>
        <v>25</v>
      </c>
      <c r="E17" s="227"/>
      <c r="F17" s="227"/>
      <c r="G17" s="205">
        <f>MAX(G4:G15)</f>
        <v>18</v>
      </c>
      <c r="H17" s="206"/>
      <c r="I17" s="206"/>
      <c r="J17" s="205">
        <f>MAX(J4:J15)</f>
        <v>42</v>
      </c>
      <c r="K17" s="206"/>
      <c r="L17" s="206"/>
      <c r="M17" s="205">
        <f>MAX(M4:M15)</f>
        <v>16</v>
      </c>
      <c r="N17" s="206"/>
      <c r="O17" s="206"/>
      <c r="P17" s="27"/>
      <c r="Q17" s="21"/>
      <c r="R17" s="21"/>
      <c r="S17" s="21"/>
    </row>
    <row r="18" spans="1:23" ht="20" customHeight="1">
      <c r="A18" s="228" t="s">
        <v>6</v>
      </c>
      <c r="B18" s="229"/>
      <c r="C18" s="230"/>
      <c r="D18" s="204" t="str">
        <f>VLOOKUP(D17,D$4:$P$15,13,FALSE)</f>
        <v>70～80万</v>
      </c>
      <c r="E18" s="204"/>
      <c r="F18" s="204"/>
      <c r="G18" s="204" t="str">
        <f>VLOOKUP(G17,G$4:$P$15,10,FALSE)</f>
        <v>60～70万</v>
      </c>
      <c r="H18" s="204"/>
      <c r="I18" s="204"/>
      <c r="J18" s="204" t="str">
        <f>VLOOKUP(J17,J$4:$P$15,7,FALSE)</f>
        <v>60～70万</v>
      </c>
      <c r="K18" s="204"/>
      <c r="L18" s="204"/>
      <c r="M18" s="204" t="str">
        <f>VLOOKUP(M17,M$4:$P$15,4,FALSE)</f>
        <v>60～70万</v>
      </c>
      <c r="N18" s="204"/>
      <c r="O18" s="204"/>
      <c r="P18" s="28"/>
      <c r="Q18" s="29"/>
      <c r="R18" s="29"/>
      <c r="S18" s="29"/>
    </row>
    <row r="19" spans="1:23" ht="20" customHeight="1">
      <c r="A19" s="216" t="s">
        <v>7</v>
      </c>
      <c r="B19" s="217"/>
      <c r="C19" s="218"/>
      <c r="D19" s="219">
        <v>700000</v>
      </c>
      <c r="E19" s="219"/>
      <c r="F19" s="219"/>
      <c r="G19" s="219">
        <v>700000</v>
      </c>
      <c r="H19" s="219"/>
      <c r="I19" s="219"/>
      <c r="J19" s="202">
        <v>600000</v>
      </c>
      <c r="K19" s="203"/>
      <c r="L19" s="203"/>
      <c r="M19" s="202">
        <v>800000</v>
      </c>
      <c r="N19" s="203"/>
      <c r="O19" s="203"/>
      <c r="P19" s="30"/>
      <c r="Q19" s="31"/>
      <c r="R19" s="31"/>
      <c r="S19" s="31"/>
      <c r="W19" s="2" t="s">
        <v>8</v>
      </c>
    </row>
    <row r="20" spans="1:23" ht="20" customHeight="1">
      <c r="A20" s="220" t="s">
        <v>9</v>
      </c>
      <c r="B20" s="221"/>
      <c r="C20" s="222"/>
      <c r="D20" s="223">
        <v>600000</v>
      </c>
      <c r="E20" s="223"/>
      <c r="F20" s="223"/>
      <c r="G20" s="223">
        <v>600000</v>
      </c>
      <c r="H20" s="223"/>
      <c r="I20" s="223"/>
      <c r="J20" s="214">
        <v>500000</v>
      </c>
      <c r="K20" s="215"/>
      <c r="L20" s="215"/>
      <c r="M20" s="214">
        <v>600000</v>
      </c>
      <c r="N20" s="215"/>
      <c r="O20" s="215"/>
      <c r="P20" s="32"/>
      <c r="Q20" s="31"/>
      <c r="R20" s="31"/>
      <c r="S20" s="31"/>
    </row>
    <row r="21" spans="1:23" ht="20" customHeight="1">
      <c r="A21" s="207" t="s">
        <v>10</v>
      </c>
      <c r="B21" s="208"/>
      <c r="C21" s="209"/>
      <c r="D21" s="210">
        <f>SQRT(D19*D20)</f>
        <v>648074.06984078605</v>
      </c>
      <c r="E21" s="210"/>
      <c r="F21" s="210"/>
      <c r="G21" s="211">
        <f>SQRT(G19*G20)</f>
        <v>648074.06984078605</v>
      </c>
      <c r="H21" s="210"/>
      <c r="I21" s="210"/>
      <c r="J21" s="212">
        <f>SQRT(J19*J20)</f>
        <v>547722.55750516616</v>
      </c>
      <c r="K21" s="213"/>
      <c r="L21" s="213"/>
      <c r="M21" s="212">
        <f>SQRT(M19*M20)</f>
        <v>692820.32302755094</v>
      </c>
      <c r="N21" s="213"/>
      <c r="O21" s="213"/>
      <c r="P21" s="32"/>
      <c r="Q21" s="31"/>
      <c r="R21" s="31"/>
      <c r="S21" s="31"/>
    </row>
  </sheetData>
  <mergeCells count="37">
    <mergeCell ref="M2:O2"/>
    <mergeCell ref="A16:C16"/>
    <mergeCell ref="D16:F16"/>
    <mergeCell ref="G16:I16"/>
    <mergeCell ref="J16:L16"/>
    <mergeCell ref="M16:O16"/>
    <mergeCell ref="A2:A3"/>
    <mergeCell ref="B2:B3"/>
    <mergeCell ref="C2:C3"/>
    <mergeCell ref="D2:F2"/>
    <mergeCell ref="G2:I2"/>
    <mergeCell ref="J2:L2"/>
    <mergeCell ref="J20:L20"/>
    <mergeCell ref="A17:C17"/>
    <mergeCell ref="D17:F17"/>
    <mergeCell ref="G17:I17"/>
    <mergeCell ref="J17:L17"/>
    <mergeCell ref="A18:C18"/>
    <mergeCell ref="D18:F18"/>
    <mergeCell ref="G18:I18"/>
    <mergeCell ref="J18:L18"/>
    <mergeCell ref="M19:O19"/>
    <mergeCell ref="M18:O18"/>
    <mergeCell ref="M17:O17"/>
    <mergeCell ref="A21:C21"/>
    <mergeCell ref="D21:F21"/>
    <mergeCell ref="G21:I21"/>
    <mergeCell ref="J21:L21"/>
    <mergeCell ref="M21:O21"/>
    <mergeCell ref="M20:O20"/>
    <mergeCell ref="A19:C19"/>
    <mergeCell ref="D19:F19"/>
    <mergeCell ref="G19:I19"/>
    <mergeCell ref="J19:L19"/>
    <mergeCell ref="A20:C20"/>
    <mergeCell ref="D20:F20"/>
    <mergeCell ref="G20:I20"/>
  </mergeCells>
  <phoneticPr fontId="4"/>
  <conditionalFormatting sqref="D6:D15 M6:N15 I6:J15 F6:F15">
    <cfRule type="cellIs" dxfId="9" priority="12" stopIfTrue="1" operator="greaterThanOrEqual">
      <formula>1</formula>
    </cfRule>
  </conditionalFormatting>
  <conditionalFormatting sqref="G6:G15">
    <cfRule type="cellIs" dxfId="8" priority="10" stopIfTrue="1" operator="equal">
      <formula>$G$17</formula>
    </cfRule>
    <cfRule type="cellIs" dxfId="7" priority="11" stopIfTrue="1" operator="greaterThan">
      <formula>0</formula>
    </cfRule>
  </conditionalFormatting>
  <conditionalFormatting sqref="J6:J15">
    <cfRule type="cellIs" dxfId="6" priority="9" stopIfTrue="1" operator="equal">
      <formula>$J$17</formula>
    </cfRule>
  </conditionalFormatting>
  <conditionalFormatting sqref="M6:N15">
    <cfRule type="cellIs" dxfId="5" priority="8" stopIfTrue="1" operator="equal">
      <formula>$M$17</formula>
    </cfRule>
  </conditionalFormatting>
  <conditionalFormatting sqref="D6:D15 I6:I15 F6:F15">
    <cfRule type="cellIs" dxfId="4" priority="7" stopIfTrue="1" operator="equal">
      <formula>$D$17</formula>
    </cfRule>
  </conditionalFormatting>
  <conditionalFormatting sqref="L6:L15">
    <cfRule type="cellIs" dxfId="3" priority="4" stopIfTrue="1" operator="greaterThanOrEqual">
      <formula>1</formula>
    </cfRule>
  </conditionalFormatting>
  <conditionalFormatting sqref="L6:L15">
    <cfRule type="cellIs" dxfId="2" priority="3" stopIfTrue="1" operator="equal">
      <formula>$D$17</formula>
    </cfRule>
  </conditionalFormatting>
  <conditionalFormatting sqref="O6:O15">
    <cfRule type="cellIs" dxfId="1" priority="2" stopIfTrue="1" operator="greaterThanOrEqual">
      <formula>1</formula>
    </cfRule>
  </conditionalFormatting>
  <conditionalFormatting sqref="O6:O15">
    <cfRule type="cellIs" dxfId="0" priority="1" stopIfTrue="1" operator="equal">
      <formula>$D$17</formula>
    </cfRule>
  </conditionalFormatting>
  <printOptions horizontalCentered="1" verticalCentered="1"/>
  <pageMargins left="0.39370078740157483" right="0.39370078740157483" top="0.52" bottom="2.02" header="0.11811023622047245" footer="0.11811023622047245"/>
  <pageSetup paperSize="8"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調査原票</vt:lpstr>
      <vt:lpstr>価格要因分析</vt:lpstr>
      <vt:lpstr>競合比較分析</vt:lpstr>
      <vt:lpstr>プライシング思想</vt:lpstr>
      <vt:lpstr>商品設計思想</vt:lpstr>
      <vt:lpstr>商品設計・価格表案</vt:lpstr>
      <vt:lpstr>収支</vt:lpstr>
      <vt:lpstr>コスト</vt:lpstr>
      <vt:lpstr>MD分析表(保留)</vt:lpstr>
      <vt:lpstr>'MD分析表(保留)'!Print_Area</vt:lpstr>
      <vt:lpstr>収支!Print_Area</vt:lpstr>
      <vt:lpstr>調査原票!Print_Area</vt:lpstr>
      <vt:lpstr>調査原票!Print_Titles</vt:lpstr>
    </vt:vector>
  </TitlesOfParts>
  <Company>船井総合研究所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F1782</dc:creator>
  <cp:lastModifiedBy>Microsoft Office ユーザー</cp:lastModifiedBy>
  <cp:lastPrinted>2019-06-14T05:59:40Z</cp:lastPrinted>
  <dcterms:created xsi:type="dcterms:W3CDTF">2012-02-15T19:31:03Z</dcterms:created>
  <dcterms:modified xsi:type="dcterms:W3CDTF">2020-03-22T08:33:40Z</dcterms:modified>
</cp:coreProperties>
</file>